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210" windowWidth="9555" windowHeight="7620"/>
  </bookViews>
  <sheets>
    <sheet name="август" sheetId="9" r:id="rId1"/>
  </sheets>
  <definedNames>
    <definedName name="_xlnm._FilterDatabase" localSheetId="0" hidden="1">август!$A$16:$V$133</definedName>
    <definedName name="_xlnm.Print_Area" localSheetId="0">август!$P$61:$Q$66</definedName>
    <definedName name="Резьба_Ду_15" localSheetId="0">август!$P$89</definedName>
    <definedName name="Резьба_Ду_15">#REF!</definedName>
  </definedNames>
  <calcPr calcId="152511"/>
</workbook>
</file>

<file path=xl/calcChain.xml><?xml version="1.0" encoding="utf-8"?>
<calcChain xmlns="http://schemas.openxmlformats.org/spreadsheetml/2006/main">
  <c r="T120" i="9" l="1"/>
  <c r="T16" i="9" l="1"/>
  <c r="Q16" i="9" s="1"/>
  <c r="T19" i="9"/>
  <c r="Q19" i="9" s="1"/>
  <c r="T44" i="9"/>
  <c r="Q44" i="9" s="1"/>
  <c r="T45" i="9"/>
  <c r="Q45" i="9"/>
  <c r="T46" i="9"/>
  <c r="Q46" i="9"/>
  <c r="T125" i="9" l="1"/>
  <c r="Q125" i="9" s="1"/>
  <c r="T121" i="9"/>
  <c r="Q121" i="9" s="1"/>
  <c r="T122" i="9"/>
  <c r="T133" i="9"/>
  <c r="Q133" i="9" s="1"/>
  <c r="T132" i="9"/>
  <c r="T131" i="9"/>
  <c r="Q131" i="9" s="1"/>
  <c r="T130" i="9"/>
  <c r="Q130" i="9" s="1"/>
  <c r="T129" i="9"/>
  <c r="T128" i="9"/>
  <c r="Q128" i="9" s="1"/>
  <c r="T126" i="9"/>
  <c r="T127" i="9"/>
  <c r="Q127" i="9" s="1"/>
  <c r="T43" i="9"/>
  <c r="Q43" i="9" s="1"/>
  <c r="T123" i="9"/>
  <c r="Q123" i="9" s="1"/>
  <c r="Q120" i="9"/>
  <c r="T124" i="9"/>
  <c r="Q124" i="9" s="1"/>
  <c r="T17" i="9"/>
  <c r="Q17" i="9" s="1"/>
  <c r="T18" i="9"/>
  <c r="Q18" i="9" s="1"/>
  <c r="T37" i="9"/>
  <c r="Q37" i="9" s="1"/>
  <c r="T41" i="9"/>
  <c r="Q41" i="9" s="1"/>
  <c r="Q110" i="9"/>
  <c r="T110" i="9"/>
  <c r="T40" i="9"/>
  <c r="Q40" i="9" s="1"/>
  <c r="T39" i="9"/>
  <c r="Q39" i="9" s="1"/>
  <c r="T29" i="9"/>
  <c r="Q29" i="9" s="1"/>
  <c r="T21" i="9"/>
  <c r="Q21" i="9" s="1"/>
  <c r="T31" i="9"/>
  <c r="Q31" i="9" s="1"/>
  <c r="T32" i="9"/>
  <c r="Q32" i="9" s="1"/>
  <c r="T33" i="9"/>
  <c r="Q33" i="9" s="1"/>
  <c r="T27" i="9"/>
  <c r="Q27" i="9" s="1"/>
  <c r="T22" i="9"/>
  <c r="Q22" i="9" s="1"/>
  <c r="T28" i="9"/>
  <c r="Q28" i="9" s="1"/>
  <c r="T38" i="9"/>
  <c r="Q38" i="9" s="1"/>
  <c r="T23" i="9"/>
  <c r="Q23" i="9" s="1"/>
  <c r="T24" i="9"/>
  <c r="Q24" i="9" s="1"/>
  <c r="T26" i="9"/>
  <c r="Q26" i="9" s="1"/>
  <c r="T25" i="9"/>
  <c r="Q25" i="9" s="1"/>
  <c r="T34" i="9"/>
  <c r="Q34" i="9" s="1"/>
  <c r="T35" i="9"/>
  <c r="Q35" i="9" s="1"/>
  <c r="T20" i="9"/>
  <c r="Q20" i="9" s="1"/>
  <c r="T36" i="9"/>
  <c r="Q36" i="9" s="1"/>
  <c r="T30" i="9"/>
  <c r="Q30" i="9" s="1"/>
  <c r="T42" i="9"/>
  <c r="Q42" i="9" s="1"/>
  <c r="Q51" i="9"/>
  <c r="T51" i="9"/>
  <c r="T49" i="9"/>
  <c r="Q49" i="9" s="1"/>
  <c r="T50" i="9"/>
  <c r="Q50" i="9" s="1"/>
  <c r="T47" i="9"/>
  <c r="Q47" i="9" s="1"/>
  <c r="T48" i="9"/>
  <c r="Q48" i="9" s="1"/>
  <c r="T73" i="9" l="1"/>
  <c r="Q73" i="9" s="1"/>
  <c r="T56" i="9"/>
  <c r="Q56" i="9" s="1"/>
  <c r="T61" i="9"/>
  <c r="Q61" i="9" s="1"/>
  <c r="T68" i="9"/>
  <c r="Q68" i="9" s="1"/>
  <c r="T62" i="9"/>
  <c r="Q62" i="9" s="1"/>
  <c r="T63" i="9"/>
  <c r="Q63" i="9" s="1"/>
  <c r="Q75" i="9"/>
  <c r="T75" i="9"/>
  <c r="T74" i="9"/>
  <c r="Q74" i="9" s="1"/>
  <c r="T64" i="9"/>
  <c r="Q64" i="9" s="1"/>
  <c r="T54" i="9"/>
  <c r="Q54" i="9" s="1"/>
  <c r="T65" i="9"/>
  <c r="Q65" i="9" s="1"/>
  <c r="T66" i="9"/>
  <c r="Q66" i="9" s="1"/>
  <c r="T55" i="9"/>
  <c r="Q55" i="9" s="1"/>
  <c r="T60" i="9"/>
  <c r="Q60" i="9" s="1"/>
  <c r="T67" i="9"/>
  <c r="Q67" i="9" s="1"/>
  <c r="T71" i="9"/>
  <c r="Q71" i="9" s="1"/>
  <c r="T57" i="9"/>
  <c r="Q57" i="9" s="1"/>
  <c r="T58" i="9"/>
  <c r="Q58" i="9" s="1"/>
  <c r="T59" i="9"/>
  <c r="Q59" i="9" s="1"/>
  <c r="T69" i="9"/>
  <c r="Q69" i="9" s="1"/>
  <c r="T53" i="9"/>
  <c r="Q53" i="9" s="1"/>
  <c r="T70" i="9"/>
  <c r="Q70" i="9" s="1"/>
  <c r="T72" i="9"/>
  <c r="Q72" i="9" s="1"/>
  <c r="T52" i="9"/>
  <c r="Q52" i="9" s="1"/>
  <c r="T77" i="9"/>
  <c r="Q77" i="9" s="1"/>
  <c r="T93" i="9"/>
  <c r="Q93" i="9" s="1"/>
  <c r="T92" i="9"/>
  <c r="Q92" i="9" s="1"/>
  <c r="T84" i="9"/>
  <c r="Q84" i="9" s="1"/>
  <c r="T91" i="9"/>
  <c r="Q91" i="9" s="1"/>
  <c r="T86" i="9"/>
  <c r="Q86" i="9" s="1"/>
  <c r="T85" i="9"/>
  <c r="Q85" i="9" s="1"/>
  <c r="T87" i="9"/>
  <c r="Q87" i="9" s="1"/>
  <c r="T82" i="9"/>
  <c r="Q82" i="9" s="1"/>
  <c r="T88" i="9"/>
  <c r="Q88" i="9" s="1"/>
  <c r="T80" i="9"/>
  <c r="Q80" i="9" s="1"/>
  <c r="S80" i="9"/>
  <c r="T79" i="9"/>
  <c r="Q79" i="9" s="1"/>
  <c r="T78" i="9"/>
  <c r="Q78" i="9" s="1"/>
  <c r="T81" i="9"/>
  <c r="Q81" i="9" s="1"/>
  <c r="T89" i="9"/>
  <c r="Q89" i="9" s="1"/>
  <c r="T76" i="9"/>
  <c r="Q76" i="9" s="1"/>
  <c r="T90" i="9"/>
  <c r="Q90" i="9" s="1"/>
  <c r="T94" i="9"/>
  <c r="Q94" i="9" s="1"/>
  <c r="T95" i="9"/>
  <c r="Q95" i="9" s="1"/>
  <c r="T111" i="9"/>
  <c r="Q111" i="9" s="1"/>
  <c r="T96" i="9"/>
  <c r="Q96" i="9" s="1"/>
  <c r="Q109" i="9"/>
  <c r="T109" i="9"/>
  <c r="T103" i="9"/>
  <c r="Q103" i="9" s="1"/>
  <c r="T83" i="9"/>
  <c r="Q83" i="9" s="1"/>
  <c r="T104" i="9"/>
  <c r="Q104" i="9" s="1"/>
  <c r="T105" i="9"/>
  <c r="Q105" i="9" s="1"/>
  <c r="T106" i="9"/>
  <c r="Q106" i="9" s="1"/>
  <c r="T102" i="9"/>
  <c r="Q102" i="9" s="1"/>
  <c r="T98" i="9"/>
  <c r="Q98" i="9" s="1"/>
  <c r="T108" i="9"/>
  <c r="Q108" i="9" s="1"/>
  <c r="S100" i="9"/>
  <c r="T100" i="9"/>
  <c r="Q100" i="9" s="1"/>
  <c r="T99" i="9"/>
  <c r="Q99" i="9" s="1"/>
  <c r="T101" i="9"/>
  <c r="Q101" i="9" s="1"/>
  <c r="T107" i="9"/>
  <c r="Q107" i="9" s="1"/>
  <c r="T97" i="9"/>
  <c r="Q97" i="9" s="1"/>
  <c r="T112" i="9"/>
  <c r="Q112" i="9" s="1"/>
  <c r="T115" i="9"/>
  <c r="Q115" i="9" s="1"/>
  <c r="Q114" i="9"/>
  <c r="Q117" i="9"/>
  <c r="T113" i="9"/>
  <c r="Q113" i="9" s="1"/>
  <c r="T116" i="9"/>
  <c r="Q116" i="9" s="1"/>
  <c r="T117" i="9"/>
  <c r="Q118" i="9"/>
  <c r="T118" i="9"/>
  <c r="T119" i="9" l="1"/>
  <c r="Q119" i="9" s="1"/>
</calcChain>
</file>

<file path=xl/sharedStrings.xml><?xml version="1.0" encoding="utf-8"?>
<sst xmlns="http://schemas.openxmlformats.org/spreadsheetml/2006/main" count="639" uniqueCount="172">
  <si>
    <t>Приложение №10</t>
  </si>
  <si>
    <t>к приказу ФАС России</t>
  </si>
  <si>
    <t>от 18.01.2019 №38/19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</si>
  <si>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
</t>
    </r>
    <r>
      <rPr>
        <b/>
        <sz val="14"/>
        <rFont val="Times New Roman"/>
        <family val="1"/>
        <charset val="204"/>
      </rPr>
      <t>ООО "Стимул"</t>
    </r>
  </si>
  <si>
    <t>№</t>
  </si>
  <si>
    <t>Дата закупки  (Поступление товаров и услуг:Дата документа)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</si>
  <si>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</si>
  <si>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</si>
  <si>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</si>
  <si>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</si>
  <si>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</si>
  <si>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</si>
  <si>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</si>
  <si>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</si>
  <si>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</si>
  <si>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</si>
  <si>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</si>
  <si>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</si>
  <si>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</si>
  <si>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</si>
  <si>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</si>
  <si>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</si>
  <si>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</si>
  <si>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</si>
  <si>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</si>
  <si>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</si>
  <si>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</si>
  <si>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</si>
  <si>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</si>
  <si>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</si>
  <si>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</si>
  <si>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</si>
  <si>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</si>
  <si>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</si>
  <si>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Да </t>
  </si>
  <si>
    <t>мес.</t>
  </si>
  <si>
    <t>ПАО "ВымпелКом"</t>
  </si>
  <si>
    <t>­</t>
  </si>
  <si>
    <t>ООО "Бегет"</t>
  </si>
  <si>
    <t>ПАО "Мегафон"</t>
  </si>
  <si>
    <t>ПАО "Ростелеком"</t>
  </si>
  <si>
    <t>услуга</t>
  </si>
  <si>
    <t>ООО "Кассы и весы"</t>
  </si>
  <si>
    <t>ООО "Импульс"</t>
  </si>
  <si>
    <t>шт.</t>
  </si>
  <si>
    <t>ООО "УКСЗДК 179/2"</t>
  </si>
  <si>
    <t>ООО "Сибирский Дом"</t>
  </si>
  <si>
    <t>Аренда (СанТехПрибор)</t>
  </si>
  <si>
    <t>ООО "СанТехПрибор"</t>
  </si>
  <si>
    <t>Оказание сервисных услуг</t>
  </si>
  <si>
    <t>л</t>
  </si>
  <si>
    <t>ООО "СИБИРСКИЙ ИНЖЕНЕРНЫЙ ЦЕНТР"</t>
  </si>
  <si>
    <t>ООО "НТЦ ЭКОЛОГИЧЕСКАЯ БЕЗОПАСНОСТЬ СИБИРИ"</t>
  </si>
  <si>
    <t xml:space="preserve">Услуги связи, интернет </t>
  </si>
  <si>
    <t>ООО "Газпромнефть-Корпоративные продажи"</t>
  </si>
  <si>
    <t>ООО "Сибирская Газовая  Компания"</t>
  </si>
  <si>
    <t>Аренда (УКСЗДК)</t>
  </si>
  <si>
    <t>Аренда (Связьпроектсервис)</t>
  </si>
  <si>
    <t>ООО "ПСК "Связьпроектсервис"</t>
  </si>
  <si>
    <t>Тех.обсл.(касса)</t>
  </si>
  <si>
    <t>Бензин Регуляр-92</t>
  </si>
  <si>
    <t>Хостинг по аккаунту stimulnsk</t>
  </si>
  <si>
    <t>Аренда (Сибирский Дом)</t>
  </si>
  <si>
    <t>комп</t>
  </si>
  <si>
    <t>КТЗ-001-25-00 в/н СГК</t>
  </si>
  <si>
    <t>Седелка 0090*0032 мм ПЭ 100 SDR 11 эл/св.</t>
  </si>
  <si>
    <t>Шуруп-шпилька 8*200мм 0120-80-200</t>
  </si>
  <si>
    <t>Аренда зем.участков (Импульс)</t>
  </si>
  <si>
    <t>Резьба Ду-20</t>
  </si>
  <si>
    <t>Счетчик газа СГД G4 1 1/4 (прав)</t>
  </si>
  <si>
    <t>Шуруп-шпилька 8*120мм 0120-80-120</t>
  </si>
  <si>
    <t>кг</t>
  </si>
  <si>
    <t>мес</t>
  </si>
  <si>
    <t>Адаптер ДУ-25 сварка, шестигр. гайка (меш.)G4 1 1/4</t>
  </si>
  <si>
    <t>Контрагайка d25 стальная ГОСТ 8968-75</t>
  </si>
  <si>
    <t>Кран газ.11Б27п DN25 PN16 рыч мм. БАЗ</t>
  </si>
  <si>
    <t>Муфта стальная d25 ПКФ</t>
  </si>
  <si>
    <t>Отвод (шовный) ДУ-25</t>
  </si>
  <si>
    <t xml:space="preserve">Резьба ДУ-15 </t>
  </si>
  <si>
    <t xml:space="preserve">Резьба ДУ-25 </t>
  </si>
  <si>
    <t>Сгон ДУ-25</t>
  </si>
  <si>
    <t>Система Автономного Контроля Загазованности DN 25 НД (СН4)</t>
  </si>
  <si>
    <t>Счетчик газа СГД G4 1 1/4 правый</t>
  </si>
  <si>
    <t>Фильтр ГП - Ду 25</t>
  </si>
  <si>
    <t>Август 2020 г.</t>
  </si>
  <si>
    <t>1,00м 3/4 Г-Ш шланг сильф CS "OVERCON"(304)</t>
  </si>
  <si>
    <t>Бетон БСТ М200 (В15)</t>
  </si>
  <si>
    <t>Бочонок Ду20</t>
  </si>
  <si>
    <t>Бочонок Ду25</t>
  </si>
  <si>
    <t>Заглушка 0032мм ПЭ100 SDR11</t>
  </si>
  <si>
    <t>Контрагайка d32 стальная ГОСТ 8968-75</t>
  </si>
  <si>
    <t>Кран газ. шаровый ДУ-15 вн-вн ГАЛЛОП</t>
  </si>
  <si>
    <t>Кран газ. шаровый ДУ-20 вн-вн GL220 ГАЛЛОП</t>
  </si>
  <si>
    <t>Кран газ. шаровый ДУ-25 вн-вн GL220 ГАЛЛОП</t>
  </si>
  <si>
    <t>Кран газ.11Б27п DN20 PN16 рыч мм. БАЗ</t>
  </si>
  <si>
    <t>Муфта 0032 мм ПЭ 100 SDR11 эл/св.</t>
  </si>
  <si>
    <t>Муфта 063 мм. ПЭ100 SDR11 Xinda,эл.св</t>
  </si>
  <si>
    <t>Муфта стальная d32</t>
  </si>
  <si>
    <t>Отвод  90гр. 0063 мм ПЭ 100 SDR11</t>
  </si>
  <si>
    <t xml:space="preserve">Отрезные круги </t>
  </si>
  <si>
    <t>Переход с ДУ25*3 на ДУ20*3</t>
  </si>
  <si>
    <t xml:space="preserve">Перчатки х/б с ПВХ </t>
  </si>
  <si>
    <t>Пистолетная монтажная пена ТЕХНОНИКОЛЬ MASTER 65(всесезонная) 750 мл</t>
  </si>
  <si>
    <t>Реле давления газа GW150A6_5-150мбар</t>
  </si>
  <si>
    <t>Сгон Ду-20</t>
  </si>
  <si>
    <t>Сгон ДУ-32</t>
  </si>
  <si>
    <t>Соединение неразъумное ПЭ/ст 0032*32мм ПЭ100 SDR11 ГАЗ</t>
  </si>
  <si>
    <t>Счетчик газа СГД G4 1 1/4 левый</t>
  </si>
  <si>
    <t>Счетчик газа СГМН-1-2-1 G-6  (200 мм) левый; Минск</t>
  </si>
  <si>
    <t>Тройник ПЭ100 SDR11 0032мм</t>
  </si>
  <si>
    <t>Труба 160*14,6 пэ 100 sdr 11</t>
  </si>
  <si>
    <t>Угол 90 коаксиальная  подключения 60/100 (Bosch,Buderus,Navien) (K-02N)</t>
  </si>
  <si>
    <t>Футорка 3/4"н - 1/2"в</t>
  </si>
  <si>
    <t xml:space="preserve">Хомут металлорезиновый с дюбелем и шурупом  1" (32-36мм) СТМ </t>
  </si>
  <si>
    <t>Хомут металлорезиновый с дюбелем и шурупом 25 1" (32-36мм) СТМ CHSR0001 (50шт.)</t>
  </si>
  <si>
    <t>Электроды ОК46 3,0мм.(ЭСАБ Питер) (2,5кг)</t>
  </si>
  <si>
    <t>ООО "КОЛИЗЕЙ СИБСТРОЙ"</t>
  </si>
  <si>
    <t>Сч-фактура №596 от 29.08.2020</t>
  </si>
  <si>
    <r>
      <t>м</t>
    </r>
    <r>
      <rPr>
        <sz val="9"/>
        <color rgb="FF000000"/>
        <rFont val="Calibri"/>
        <family val="2"/>
        <charset val="204"/>
      </rPr>
      <t>³</t>
    </r>
  </si>
  <si>
    <r>
      <t>Доставка автобетономесителем 5м</t>
    </r>
    <r>
      <rPr>
        <sz val="9"/>
        <rFont val="Calibri"/>
        <family val="2"/>
        <charset val="204"/>
      </rPr>
      <t>³</t>
    </r>
  </si>
  <si>
    <t>рейс</t>
  </si>
  <si>
    <t>Сч-фактура № 2131 от 28.08.2020</t>
  </si>
  <si>
    <t>пар</t>
  </si>
  <si>
    <t>Сч-фактура № ИТ-3085 от 25.08.2020</t>
  </si>
  <si>
    <t>ООО "ИТепло"</t>
  </si>
  <si>
    <t>Сч-фактура №2055 от 21.08.2020</t>
  </si>
  <si>
    <t>Отвод крутогнутый Ду 25*3</t>
  </si>
  <si>
    <t>ООО "ТД "СИБКОМПЛЕКТ"</t>
  </si>
  <si>
    <t>Сч-фактура № УТ-2026 от 19.08.2020</t>
  </si>
  <si>
    <t>Сч-фактура №1923 от 17.08.2020</t>
  </si>
  <si>
    <t xml:space="preserve">    </t>
  </si>
  <si>
    <t>Сч-фактура №1909 от 14.08.2020</t>
  </si>
  <si>
    <t>Сч-фактура № УТ-1936 от 12.08.2020</t>
  </si>
  <si>
    <t>ООО "ТЕХСТРОЙ"</t>
  </si>
  <si>
    <t>Сч-фактура № 5585 от 12.08.2020</t>
  </si>
  <si>
    <t>пог.м</t>
  </si>
  <si>
    <t>Заправка картриджа Куосера ТК-1130</t>
  </si>
  <si>
    <t>Сч-фактура " 1097 от 10.08.2020</t>
  </si>
  <si>
    <t>ООО Компания "КОЛОРЛОН"</t>
  </si>
  <si>
    <t>Сч-фактура № 24195 от 07.08.2020</t>
  </si>
  <si>
    <t>Сч-фактура №1824 от 07.08.2020</t>
  </si>
  <si>
    <t>Система Автономного Контроля Загазованности DN 20 НД (СН4)</t>
  </si>
  <si>
    <t>КТЗ-001-20-00 в/н СГК</t>
  </si>
  <si>
    <t>ООО Компания "МТ-Групп"</t>
  </si>
  <si>
    <t>Сч-фактура №930 от 07.08.2020</t>
  </si>
  <si>
    <t>Сч-фактура № УТ-1789 от 03.08.2020</t>
  </si>
  <si>
    <t>Акт № 23 от 31.08.2020г.</t>
  </si>
  <si>
    <t>Акт №256 от 31.08.2020г.</t>
  </si>
  <si>
    <t>Акт №59 от 31.08.2020г.</t>
  </si>
  <si>
    <t>Сч-фактура № 100706735713 от 31.08.2020г.</t>
  </si>
  <si>
    <t>Сч-фактура №954962 от 31.08.2020г.</t>
  </si>
  <si>
    <t>Сч-фактура № 20738594739/700 от 31.08.2020г.</t>
  </si>
  <si>
    <t>Сч-фактура №640.00048603-2/01609 от 31.08.2020г.</t>
  </si>
  <si>
    <t>Сч-фактура №640.00070989-70/01609 от 31.08.2020г.</t>
  </si>
  <si>
    <t>Сч-фактура №640.00192175-1/01609 от 31.08.2020г.</t>
  </si>
  <si>
    <t>Сч-фактура № CSC0000000647767 от 31.08.2020г.</t>
  </si>
  <si>
    <t>Сч-фактура № CSC0000000677369 от 31.08.2020г.</t>
  </si>
  <si>
    <t>Сч-фактура №1080 от 31.08.2020г.</t>
  </si>
  <si>
    <t>Акт № 542 от 31.08.2020г.</t>
  </si>
  <si>
    <t>Акт №К-020719/07-08 от 31.08.2020г.</t>
  </si>
  <si>
    <t>Страхование по договору ПАСС-2 (дог. 20/08/224 от 07.08.2020г.)</t>
  </si>
  <si>
    <t>Акт №935 от 11.08.2020г.</t>
  </si>
  <si>
    <t>Акт №934 от 11.08.2020г.</t>
  </si>
  <si>
    <t>Сч-фактура №100699187726 от 10.08.2020г.</t>
  </si>
  <si>
    <t>Сертификат (годовой) на контрольно-кассовую технику</t>
  </si>
  <si>
    <t>Т.н. №ДК-2887 от 10.08.2020</t>
  </si>
  <si>
    <t>Выполнение проколов бурением. п. Садовый</t>
  </si>
  <si>
    <t>ООО "СИЭЛС"</t>
  </si>
  <si>
    <t>Сч-фактура № 38от 04.08.2020</t>
  </si>
  <si>
    <t>Газораспред. провод высокого давления (газоснабжение СНТ "Огонек")</t>
  </si>
  <si>
    <t>ООО "СПЕЦПРОЕКТ"</t>
  </si>
  <si>
    <t>Сч-фактура №3 от 01.08.2020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</si>
</sst>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Arial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/>
    <xf numFmtId="0" fontId="1" fillId="0" borderId="0" xfId="1" applyFill="1"/>
    <xf numFmtId="0" fontId="5" fillId="0" borderId="0" xfId="2" applyFont="1"/>
    <xf numFmtId="0" fontId="0" fillId="0" borderId="0" xfId="0" applyFill="1"/>
    <xf numFmtId="1" fontId="6" fillId="2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6" fillId="0" borderId="7" xfId="1" applyFont="1" applyFill="1" applyBorder="1" applyAlignment="1">
      <alignment horizontal="left" vertical="center" wrapText="1"/>
    </xf>
    <xf numFmtId="14" fontId="11" fillId="0" borderId="7" xfId="0" applyNumberFormat="1" applyFont="1" applyFill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0" fontId="11" fillId="0" borderId="7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1" fontId="6" fillId="2" borderId="7" xfId="1" applyNumberFormat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7" fontId="6" fillId="0" borderId="7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vertical="center" wrapText="1"/>
    </xf>
    <xf numFmtId="166" fontId="6" fillId="0" borderId="7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164" fontId="0" fillId="0" borderId="7" xfId="0" applyNumberForma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165" fontId="7" fillId="0" borderId="7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Border="1" applyAlignment="1">
      <alignment vertical="center" wrapText="1"/>
    </xf>
    <xf numFmtId="0" fontId="13" fillId="0" borderId="7" xfId="0" applyNumberFormat="1" applyFont="1" applyFill="1" applyBorder="1" applyAlignment="1">
      <alignment vertical="center" wrapText="1"/>
    </xf>
    <xf numFmtId="0" fontId="12" fillId="0" borderId="7" xfId="0" applyNumberFormat="1" applyFont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abSelected="1" topLeftCell="A4" zoomScaleNormal="100" workbookViewId="0">
      <selection activeCell="I21" sqref="I21"/>
    </sheetView>
  </sheetViews>
  <sheetFormatPr defaultRowHeight="15" x14ac:dyDescent="0.25"/>
  <cols>
    <col min="1" max="1" width="5" customWidth="1"/>
    <col min="2" max="2" width="10.42578125" customWidth="1"/>
    <col min="3" max="3" width="8.28515625" customWidth="1"/>
    <col min="4" max="4" width="9.140625" customWidth="1"/>
    <col min="5" max="6" width="8.28515625" customWidth="1"/>
    <col min="7" max="7" width="9.140625" customWidth="1"/>
    <col min="8" max="8" width="8" customWidth="1"/>
    <col min="9" max="12" width="9.140625" customWidth="1"/>
    <col min="13" max="13" width="8.42578125" customWidth="1"/>
    <col min="14" max="14" width="9.140625" customWidth="1"/>
    <col min="15" max="15" width="4.5703125" customWidth="1"/>
    <col min="16" max="16" width="26.7109375" style="6" customWidth="1"/>
    <col min="17" max="17" width="9.85546875" style="6" customWidth="1"/>
    <col min="18" max="18" width="9.5703125" style="6" customWidth="1"/>
    <col min="19" max="19" width="9.140625" style="6" customWidth="1"/>
    <col min="20" max="20" width="14.5703125" style="6" customWidth="1"/>
    <col min="21" max="22" width="27.28515625" style="6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8" t="s">
        <v>0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8" t="s">
        <v>1</v>
      </c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8" t="s">
        <v>2</v>
      </c>
    </row>
    <row r="4" spans="1:2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  <c r="U4" s="4"/>
      <c r="V4" s="4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  <c r="U5" s="4"/>
      <c r="V5" s="4"/>
    </row>
    <row r="6" spans="1:22" x14ac:dyDescent="0.25">
      <c r="A6" s="50" t="s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1:22" ht="18.75" x14ac:dyDescent="0.25">
      <c r="A8" s="50" t="s">
        <v>84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hidden="1" x14ac:dyDescent="0.2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4"/>
      <c r="R9" s="4"/>
      <c r="S9" s="4"/>
      <c r="T9" s="4">
        <v>1.3</v>
      </c>
      <c r="U9" s="4"/>
      <c r="V9" s="4"/>
    </row>
    <row r="10" spans="1:22" x14ac:dyDescent="0.25">
      <c r="A10" s="53" t="s">
        <v>4</v>
      </c>
      <c r="B10" s="47" t="s">
        <v>5</v>
      </c>
      <c r="C10" s="46" t="s">
        <v>6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56" t="s">
        <v>7</v>
      </c>
      <c r="Q10" s="56" t="s">
        <v>8</v>
      </c>
      <c r="R10" s="56" t="s">
        <v>9</v>
      </c>
      <c r="S10" s="56" t="s">
        <v>10</v>
      </c>
      <c r="T10" s="56" t="s">
        <v>11</v>
      </c>
      <c r="U10" s="56" t="s">
        <v>12</v>
      </c>
      <c r="V10" s="56" t="s">
        <v>13</v>
      </c>
    </row>
    <row r="11" spans="1:22" x14ac:dyDescent="0.25">
      <c r="A11" s="54"/>
      <c r="B11" s="48"/>
      <c r="C11" s="59" t="s">
        <v>14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47" t="s">
        <v>15</v>
      </c>
      <c r="O11" s="47"/>
      <c r="P11" s="57"/>
      <c r="Q11" s="57"/>
      <c r="R11" s="57"/>
      <c r="S11" s="57"/>
      <c r="T11" s="57"/>
      <c r="U11" s="57"/>
      <c r="V11" s="57"/>
    </row>
    <row r="12" spans="1:22" x14ac:dyDescent="0.25">
      <c r="A12" s="54"/>
      <c r="B12" s="48"/>
      <c r="C12" s="46" t="s">
        <v>16</v>
      </c>
      <c r="D12" s="46"/>
      <c r="E12" s="46"/>
      <c r="F12" s="46"/>
      <c r="G12" s="46"/>
      <c r="H12" s="46"/>
      <c r="I12" s="46"/>
      <c r="J12" s="46"/>
      <c r="K12" s="46"/>
      <c r="L12" s="46"/>
      <c r="M12" s="47" t="s">
        <v>17</v>
      </c>
      <c r="N12" s="51"/>
      <c r="O12" s="52"/>
      <c r="P12" s="57"/>
      <c r="Q12" s="57"/>
      <c r="R12" s="57"/>
      <c r="S12" s="57"/>
      <c r="T12" s="57"/>
      <c r="U12" s="57"/>
      <c r="V12" s="57"/>
    </row>
    <row r="13" spans="1:22" x14ac:dyDescent="0.25">
      <c r="A13" s="54"/>
      <c r="B13" s="48"/>
      <c r="C13" s="46" t="s">
        <v>18</v>
      </c>
      <c r="D13" s="46"/>
      <c r="E13" s="46"/>
      <c r="F13" s="46" t="s">
        <v>19</v>
      </c>
      <c r="G13" s="46"/>
      <c r="H13" s="46"/>
      <c r="I13" s="46" t="s">
        <v>20</v>
      </c>
      <c r="J13" s="46"/>
      <c r="K13" s="46" t="s">
        <v>21</v>
      </c>
      <c r="L13" s="46"/>
      <c r="M13" s="48"/>
      <c r="N13" s="47" t="s">
        <v>22</v>
      </c>
      <c r="O13" s="47" t="s">
        <v>23</v>
      </c>
      <c r="P13" s="57"/>
      <c r="Q13" s="57"/>
      <c r="R13" s="57"/>
      <c r="S13" s="57"/>
      <c r="T13" s="57"/>
      <c r="U13" s="57"/>
      <c r="V13" s="57"/>
    </row>
    <row r="14" spans="1:22" ht="60" x14ac:dyDescent="0.25">
      <c r="A14" s="55"/>
      <c r="B14" s="49"/>
      <c r="C14" s="35" t="s">
        <v>24</v>
      </c>
      <c r="D14" s="35" t="s">
        <v>25</v>
      </c>
      <c r="E14" s="35" t="s">
        <v>26</v>
      </c>
      <c r="F14" s="35" t="s">
        <v>27</v>
      </c>
      <c r="G14" s="35" t="s">
        <v>28</v>
      </c>
      <c r="H14" s="35" t="s">
        <v>29</v>
      </c>
      <c r="I14" s="35" t="s">
        <v>30</v>
      </c>
      <c r="J14" s="35" t="s">
        <v>31</v>
      </c>
      <c r="K14" s="35" t="s">
        <v>32</v>
      </c>
      <c r="L14" s="35" t="s">
        <v>33</v>
      </c>
      <c r="M14" s="49"/>
      <c r="N14" s="49"/>
      <c r="O14" s="49"/>
      <c r="P14" s="58"/>
      <c r="Q14" s="58"/>
      <c r="R14" s="58"/>
      <c r="S14" s="58"/>
      <c r="T14" s="58"/>
      <c r="U14" s="58"/>
      <c r="V14" s="58"/>
    </row>
    <row r="15" spans="1:22" x14ac:dyDescent="0.25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8">
        <v>16</v>
      </c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</row>
    <row r="16" spans="1:22" ht="24" customHeight="1" x14ac:dyDescent="0.25">
      <c r="A16" s="22">
        <v>1</v>
      </c>
      <c r="B16" s="15">
        <v>44044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1" t="s">
        <v>34</v>
      </c>
      <c r="O16" s="13"/>
      <c r="P16" s="14" t="s">
        <v>169</v>
      </c>
      <c r="Q16" s="20">
        <f>T16</f>
        <v>500</v>
      </c>
      <c r="R16" s="18" t="s">
        <v>44</v>
      </c>
      <c r="S16" s="27">
        <v>1</v>
      </c>
      <c r="T16" s="23">
        <f>500000/1000</f>
        <v>500</v>
      </c>
      <c r="U16" s="14" t="s">
        <v>170</v>
      </c>
      <c r="V16" s="14" t="s">
        <v>171</v>
      </c>
    </row>
    <row r="17" spans="1:22" ht="24" customHeight="1" x14ac:dyDescent="0.25">
      <c r="A17" s="22">
        <v>2</v>
      </c>
      <c r="B17" s="15">
        <v>44046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1" t="s">
        <v>34</v>
      </c>
      <c r="O17" s="13"/>
      <c r="P17" s="43" t="s">
        <v>96</v>
      </c>
      <c r="Q17" s="20">
        <f>T17/S17</f>
        <v>0.27083299999999999</v>
      </c>
      <c r="R17" s="25" t="s">
        <v>44</v>
      </c>
      <c r="S17" s="27">
        <v>10</v>
      </c>
      <c r="T17" s="41">
        <f>2708.33/1000</f>
        <v>2.7083300000000001</v>
      </c>
      <c r="U17" s="14" t="s">
        <v>127</v>
      </c>
      <c r="V17" s="10" t="s">
        <v>145</v>
      </c>
    </row>
    <row r="18" spans="1:22" ht="24" customHeight="1" x14ac:dyDescent="0.25">
      <c r="A18" s="22">
        <v>3</v>
      </c>
      <c r="B18" s="15">
        <v>44046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1" t="s">
        <v>34</v>
      </c>
      <c r="O18" s="13"/>
      <c r="P18" s="43" t="s">
        <v>98</v>
      </c>
      <c r="Q18" s="20">
        <f>T18/S18</f>
        <v>0.1133325</v>
      </c>
      <c r="R18" s="25" t="s">
        <v>44</v>
      </c>
      <c r="S18" s="27">
        <v>4</v>
      </c>
      <c r="T18" s="41">
        <f>453.33/1000</f>
        <v>0.45333000000000001</v>
      </c>
      <c r="U18" s="14" t="s">
        <v>127</v>
      </c>
      <c r="V18" s="10" t="s">
        <v>145</v>
      </c>
    </row>
    <row r="19" spans="1:22" ht="24" customHeight="1" x14ac:dyDescent="0.25">
      <c r="A19" s="22">
        <v>4</v>
      </c>
      <c r="B19" s="15">
        <v>44047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1" t="s">
        <v>34</v>
      </c>
      <c r="O19" s="13"/>
      <c r="P19" s="9" t="s">
        <v>166</v>
      </c>
      <c r="Q19" s="34">
        <f>T19</f>
        <v>110.83333</v>
      </c>
      <c r="R19" s="18" t="s">
        <v>37</v>
      </c>
      <c r="S19" s="18" t="s">
        <v>37</v>
      </c>
      <c r="T19" s="39">
        <f>110833.33/1000</f>
        <v>110.83333</v>
      </c>
      <c r="U19" s="14" t="s">
        <v>167</v>
      </c>
      <c r="V19" s="10" t="s">
        <v>168</v>
      </c>
    </row>
    <row r="20" spans="1:22" ht="24" customHeight="1" x14ac:dyDescent="0.25">
      <c r="A20" s="22">
        <v>5</v>
      </c>
      <c r="B20" s="16">
        <v>44050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 t="s">
        <v>34</v>
      </c>
      <c r="O20" s="11"/>
      <c r="P20" s="44" t="s">
        <v>73</v>
      </c>
      <c r="Q20" s="33">
        <f>T20/S20</f>
        <v>0.1</v>
      </c>
      <c r="R20" s="33" t="s">
        <v>63</v>
      </c>
      <c r="S20" s="33">
        <v>1</v>
      </c>
      <c r="T20" s="40">
        <f>100/1000</f>
        <v>0.1</v>
      </c>
      <c r="U20" s="14" t="s">
        <v>55</v>
      </c>
      <c r="V20" s="10" t="s">
        <v>140</v>
      </c>
    </row>
    <row r="21" spans="1:22" ht="22.5" customHeight="1" x14ac:dyDescent="0.25">
      <c r="A21" s="22">
        <v>6</v>
      </c>
      <c r="B21" s="16">
        <v>44050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 t="s">
        <v>34</v>
      </c>
      <c r="O21" s="11"/>
      <c r="P21" s="43" t="s">
        <v>87</v>
      </c>
      <c r="Q21" s="20">
        <f>T21/S21</f>
        <v>1.027E-2</v>
      </c>
      <c r="R21" s="25" t="s">
        <v>44</v>
      </c>
      <c r="S21" s="18">
        <v>1</v>
      </c>
      <c r="T21" s="41">
        <f>10.27/1000</f>
        <v>1.027E-2</v>
      </c>
      <c r="U21" s="14" t="s">
        <v>55</v>
      </c>
      <c r="V21" s="10" t="s">
        <v>140</v>
      </c>
    </row>
    <row r="22" spans="1:22" ht="24" customHeight="1" x14ac:dyDescent="0.25">
      <c r="A22" s="22">
        <v>7</v>
      </c>
      <c r="B22" s="15">
        <v>44050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1" t="s">
        <v>34</v>
      </c>
      <c r="O22" s="13"/>
      <c r="P22" s="44" t="s">
        <v>74</v>
      </c>
      <c r="Q22" s="20">
        <f>T22/S22</f>
        <v>3.1733333333333336E-2</v>
      </c>
      <c r="R22" s="25" t="s">
        <v>44</v>
      </c>
      <c r="S22" s="27">
        <v>3</v>
      </c>
      <c r="T22" s="40">
        <f>95.2/1000</f>
        <v>9.5200000000000007E-2</v>
      </c>
      <c r="U22" s="14" t="s">
        <v>55</v>
      </c>
      <c r="V22" s="10" t="s">
        <v>140</v>
      </c>
    </row>
    <row r="23" spans="1:22" ht="24" customHeight="1" x14ac:dyDescent="0.25">
      <c r="A23" s="22">
        <v>8</v>
      </c>
      <c r="B23" s="15">
        <v>44050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1" t="s">
        <v>34</v>
      </c>
      <c r="O23" s="13"/>
      <c r="P23" s="43" t="s">
        <v>94</v>
      </c>
      <c r="Q23" s="20">
        <f>T23/S23</f>
        <v>0.155</v>
      </c>
      <c r="R23" s="25" t="s">
        <v>44</v>
      </c>
      <c r="S23" s="27">
        <v>2</v>
      </c>
      <c r="T23" s="41">
        <f>310/1000</f>
        <v>0.31</v>
      </c>
      <c r="U23" s="14" t="s">
        <v>55</v>
      </c>
      <c r="V23" s="10" t="s">
        <v>140</v>
      </c>
    </row>
    <row r="24" spans="1:22" ht="24" customHeight="1" x14ac:dyDescent="0.25">
      <c r="A24" s="22">
        <v>9</v>
      </c>
      <c r="B24" s="15">
        <v>44050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1" t="s">
        <v>34</v>
      </c>
      <c r="O24" s="13"/>
      <c r="P24" s="43" t="s">
        <v>75</v>
      </c>
      <c r="Q24" s="20">
        <f>T24</f>
        <v>0.29930000000000001</v>
      </c>
      <c r="R24" s="25" t="s">
        <v>44</v>
      </c>
      <c r="S24" s="27">
        <v>1</v>
      </c>
      <c r="T24" s="41">
        <f>299.3/1000</f>
        <v>0.29930000000000001</v>
      </c>
      <c r="U24" s="14" t="s">
        <v>55</v>
      </c>
      <c r="V24" s="10" t="s">
        <v>140</v>
      </c>
    </row>
    <row r="25" spans="1:22" ht="24" customHeight="1" x14ac:dyDescent="0.25">
      <c r="A25" s="22">
        <v>10</v>
      </c>
      <c r="B25" s="15">
        <v>44050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1" t="s">
        <v>34</v>
      </c>
      <c r="O25" s="13"/>
      <c r="P25" s="43" t="s">
        <v>64</v>
      </c>
      <c r="Q25" s="20">
        <f>T25</f>
        <v>0.125</v>
      </c>
      <c r="R25" s="25" t="s">
        <v>44</v>
      </c>
      <c r="S25" s="27">
        <v>1</v>
      </c>
      <c r="T25" s="40">
        <f>125/1000</f>
        <v>0.125</v>
      </c>
      <c r="U25" s="14" t="s">
        <v>55</v>
      </c>
      <c r="V25" s="10" t="s">
        <v>140</v>
      </c>
    </row>
    <row r="26" spans="1:22" ht="24" x14ac:dyDescent="0.25">
      <c r="A26" s="22">
        <v>11</v>
      </c>
      <c r="B26" s="15">
        <v>44050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1" t="s">
        <v>34</v>
      </c>
      <c r="O26" s="13"/>
      <c r="P26" s="43" t="s">
        <v>142</v>
      </c>
      <c r="Q26" s="20">
        <f>T26</f>
        <v>0.1</v>
      </c>
      <c r="R26" s="25" t="s">
        <v>44</v>
      </c>
      <c r="S26" s="27">
        <v>1</v>
      </c>
      <c r="T26" s="40">
        <f>100/1000</f>
        <v>0.1</v>
      </c>
      <c r="U26" s="14" t="s">
        <v>55</v>
      </c>
      <c r="V26" s="10" t="s">
        <v>140</v>
      </c>
    </row>
    <row r="27" spans="1:22" ht="24" x14ac:dyDescent="0.25">
      <c r="A27" s="22">
        <v>12</v>
      </c>
      <c r="B27" s="15">
        <v>44050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1" t="s">
        <v>34</v>
      </c>
      <c r="O27" s="13"/>
      <c r="P27" s="43" t="s">
        <v>76</v>
      </c>
      <c r="Q27" s="20">
        <f>T27/S27</f>
        <v>2.52E-2</v>
      </c>
      <c r="R27" s="25" t="s">
        <v>44</v>
      </c>
      <c r="S27" s="27">
        <v>3</v>
      </c>
      <c r="T27" s="40">
        <f>75.6/1000</f>
        <v>7.5600000000000001E-2</v>
      </c>
      <c r="U27" s="14" t="s">
        <v>55</v>
      </c>
      <c r="V27" s="10" t="s">
        <v>140</v>
      </c>
    </row>
    <row r="28" spans="1:22" ht="24" x14ac:dyDescent="0.25">
      <c r="A28" s="22">
        <v>13</v>
      </c>
      <c r="B28" s="15">
        <v>44050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1" t="s">
        <v>34</v>
      </c>
      <c r="O28" s="13"/>
      <c r="P28" s="45" t="s">
        <v>77</v>
      </c>
      <c r="Q28" s="20">
        <f>T28</f>
        <v>0.22033000000000003</v>
      </c>
      <c r="R28" s="25" t="s">
        <v>44</v>
      </c>
      <c r="S28" s="27">
        <v>10</v>
      </c>
      <c r="T28" s="40">
        <f>220.33/1000</f>
        <v>0.22033000000000003</v>
      </c>
      <c r="U28" s="14" t="s">
        <v>55</v>
      </c>
      <c r="V28" s="10" t="s">
        <v>140</v>
      </c>
    </row>
    <row r="29" spans="1:22" ht="24" x14ac:dyDescent="0.25">
      <c r="A29" s="22">
        <v>14</v>
      </c>
      <c r="B29" s="15">
        <v>44050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1" t="s">
        <v>34</v>
      </c>
      <c r="O29" s="13"/>
      <c r="P29" s="44" t="s">
        <v>100</v>
      </c>
      <c r="Q29" s="20">
        <f>T29/S29</f>
        <v>2.3335000000000002E-2</v>
      </c>
      <c r="R29" s="25" t="s">
        <v>44</v>
      </c>
      <c r="S29" s="27">
        <v>2</v>
      </c>
      <c r="T29" s="40">
        <f>46.67/1000</f>
        <v>4.6670000000000003E-2</v>
      </c>
      <c r="U29" s="14" t="s">
        <v>55</v>
      </c>
      <c r="V29" s="10" t="s">
        <v>140</v>
      </c>
    </row>
    <row r="30" spans="1:22" ht="24" customHeight="1" x14ac:dyDescent="0.25">
      <c r="A30" s="22">
        <v>15</v>
      </c>
      <c r="B30" s="15">
        <v>44050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1" t="s">
        <v>34</v>
      </c>
      <c r="O30" s="13"/>
      <c r="P30" s="43" t="s">
        <v>102</v>
      </c>
      <c r="Q30" s="20">
        <f>T30/S30</f>
        <v>0.20749999999999999</v>
      </c>
      <c r="R30" s="25" t="s">
        <v>44</v>
      </c>
      <c r="S30" s="27">
        <v>50</v>
      </c>
      <c r="T30" s="41">
        <f>10375/1000</f>
        <v>10.375</v>
      </c>
      <c r="U30" s="14" t="s">
        <v>138</v>
      </c>
      <c r="V30" s="10" t="s">
        <v>139</v>
      </c>
    </row>
    <row r="31" spans="1:22" ht="24" x14ac:dyDescent="0.25">
      <c r="A31" s="22">
        <v>16</v>
      </c>
      <c r="B31" s="15">
        <v>44050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1" t="s">
        <v>34</v>
      </c>
      <c r="O31" s="13"/>
      <c r="P31" s="44" t="s">
        <v>68</v>
      </c>
      <c r="Q31" s="37">
        <f>T31/S31</f>
        <v>1.09E-2</v>
      </c>
      <c r="R31" s="18" t="s">
        <v>44</v>
      </c>
      <c r="S31" s="18">
        <v>3</v>
      </c>
      <c r="T31" s="40">
        <f>32.7/1000</f>
        <v>3.27E-2</v>
      </c>
      <c r="U31" s="14" t="s">
        <v>55</v>
      </c>
      <c r="V31" s="10" t="s">
        <v>140</v>
      </c>
    </row>
    <row r="32" spans="1:22" ht="24" x14ac:dyDescent="0.25">
      <c r="A32" s="22">
        <v>17</v>
      </c>
      <c r="B32" s="15">
        <v>44050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1" t="s">
        <v>34</v>
      </c>
      <c r="O32" s="13"/>
      <c r="P32" s="44" t="s">
        <v>79</v>
      </c>
      <c r="Q32" s="20">
        <f>T32/S32</f>
        <v>1.3066666666666669E-2</v>
      </c>
      <c r="R32" s="25" t="s">
        <v>44</v>
      </c>
      <c r="S32" s="27">
        <v>6</v>
      </c>
      <c r="T32" s="40">
        <f>78.4/1000</f>
        <v>7.8400000000000011E-2</v>
      </c>
      <c r="U32" s="14" t="s">
        <v>55</v>
      </c>
      <c r="V32" s="10" t="s">
        <v>140</v>
      </c>
    </row>
    <row r="33" spans="1:22" ht="24" x14ac:dyDescent="0.25">
      <c r="A33" s="22">
        <v>18</v>
      </c>
      <c r="B33" s="15">
        <v>44050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1" t="s">
        <v>34</v>
      </c>
      <c r="O33" s="13"/>
      <c r="P33" s="44" t="s">
        <v>80</v>
      </c>
      <c r="Q33" s="20">
        <f>T33/S33</f>
        <v>2.8173333333333331E-2</v>
      </c>
      <c r="R33" s="25" t="s">
        <v>44</v>
      </c>
      <c r="S33" s="27">
        <v>3</v>
      </c>
      <c r="T33" s="40">
        <f>84.52/1000</f>
        <v>8.4519999999999998E-2</v>
      </c>
      <c r="U33" s="14" t="s">
        <v>55</v>
      </c>
      <c r="V33" s="10" t="s">
        <v>140</v>
      </c>
    </row>
    <row r="34" spans="1:22" ht="36" x14ac:dyDescent="0.25">
      <c r="A34" s="22">
        <v>19</v>
      </c>
      <c r="B34" s="15">
        <v>44050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1" t="s">
        <v>34</v>
      </c>
      <c r="O34" s="13"/>
      <c r="P34" s="44" t="s">
        <v>141</v>
      </c>
      <c r="Q34" s="20">
        <f>T34</f>
        <v>2.1666699999999999</v>
      </c>
      <c r="R34" s="25" t="s">
        <v>44</v>
      </c>
      <c r="S34" s="27">
        <v>1</v>
      </c>
      <c r="T34" s="40">
        <f>2166.67/1000</f>
        <v>2.1666699999999999</v>
      </c>
      <c r="U34" s="14" t="s">
        <v>55</v>
      </c>
      <c r="V34" s="10" t="s">
        <v>140</v>
      </c>
    </row>
    <row r="35" spans="1:22" ht="36" x14ac:dyDescent="0.25">
      <c r="A35" s="22">
        <v>20</v>
      </c>
      <c r="B35" s="15">
        <v>44050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1" t="s">
        <v>34</v>
      </c>
      <c r="O35" s="13"/>
      <c r="P35" s="44" t="s">
        <v>81</v>
      </c>
      <c r="Q35" s="20">
        <f>T35</f>
        <v>2.375</v>
      </c>
      <c r="R35" s="25" t="s">
        <v>44</v>
      </c>
      <c r="S35" s="27">
        <v>1</v>
      </c>
      <c r="T35" s="40">
        <f>2375/1000</f>
        <v>2.375</v>
      </c>
      <c r="U35" s="14" t="s">
        <v>55</v>
      </c>
      <c r="V35" s="10" t="s">
        <v>140</v>
      </c>
    </row>
    <row r="36" spans="1:22" ht="24" x14ac:dyDescent="0.25">
      <c r="A36" s="22">
        <v>21</v>
      </c>
      <c r="B36" s="15">
        <v>44050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1" t="s">
        <v>34</v>
      </c>
      <c r="O36" s="13"/>
      <c r="P36" s="43" t="s">
        <v>108</v>
      </c>
      <c r="Q36" s="20">
        <f>T36</f>
        <v>2.98333</v>
      </c>
      <c r="R36" s="25" t="s">
        <v>44</v>
      </c>
      <c r="S36" s="27">
        <v>1</v>
      </c>
      <c r="T36" s="40">
        <f>2983.33/1000</f>
        <v>2.98333</v>
      </c>
      <c r="U36" s="14" t="s">
        <v>55</v>
      </c>
      <c r="V36" s="10" t="s">
        <v>140</v>
      </c>
    </row>
    <row r="37" spans="1:22" ht="36.75" customHeight="1" x14ac:dyDescent="0.25">
      <c r="A37" s="22">
        <v>22</v>
      </c>
      <c r="B37" s="15">
        <v>44050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1" t="s">
        <v>34</v>
      </c>
      <c r="O37" s="13"/>
      <c r="P37" s="43" t="s">
        <v>111</v>
      </c>
      <c r="Q37" s="20">
        <f>T37</f>
        <v>0.66</v>
      </c>
      <c r="R37" s="25" t="s">
        <v>44</v>
      </c>
      <c r="S37" s="27">
        <v>1</v>
      </c>
      <c r="T37" s="41">
        <f>660/1000</f>
        <v>0.66</v>
      </c>
      <c r="U37" s="14" t="s">
        <v>143</v>
      </c>
      <c r="V37" s="10" t="s">
        <v>144</v>
      </c>
    </row>
    <row r="38" spans="1:22" ht="24" x14ac:dyDescent="0.25">
      <c r="A38" s="22">
        <v>23</v>
      </c>
      <c r="B38" s="15">
        <v>44050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1" t="s">
        <v>34</v>
      </c>
      <c r="O38" s="13"/>
      <c r="P38" s="43" t="s">
        <v>83</v>
      </c>
      <c r="Q38" s="20">
        <f>T38</f>
        <v>0.24167</v>
      </c>
      <c r="R38" s="25" t="s">
        <v>44</v>
      </c>
      <c r="S38" s="27">
        <v>1</v>
      </c>
      <c r="T38" s="40">
        <f>241.67/1000</f>
        <v>0.24167</v>
      </c>
      <c r="U38" s="14" t="s">
        <v>55</v>
      </c>
      <c r="V38" s="10" t="s">
        <v>140</v>
      </c>
    </row>
    <row r="39" spans="1:22" ht="36" x14ac:dyDescent="0.25">
      <c r="A39" s="22">
        <v>24</v>
      </c>
      <c r="B39" s="15">
        <v>44050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1" t="s">
        <v>34</v>
      </c>
      <c r="O39" s="13"/>
      <c r="P39" s="43" t="s">
        <v>114</v>
      </c>
      <c r="Q39" s="20">
        <f>T39/S39</f>
        <v>1.7675E-2</v>
      </c>
      <c r="R39" s="25" t="s">
        <v>44</v>
      </c>
      <c r="S39" s="18">
        <v>10</v>
      </c>
      <c r="T39" s="40">
        <f>176.75/1000</f>
        <v>0.17674999999999999</v>
      </c>
      <c r="U39" s="14" t="s">
        <v>55</v>
      </c>
      <c r="V39" s="10" t="s">
        <v>140</v>
      </c>
    </row>
    <row r="40" spans="1:22" ht="24" x14ac:dyDescent="0.25">
      <c r="A40" s="22">
        <v>25</v>
      </c>
      <c r="B40" s="15">
        <v>44050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1" t="s">
        <v>34</v>
      </c>
      <c r="O40" s="13"/>
      <c r="P40" s="43" t="s">
        <v>70</v>
      </c>
      <c r="Q40" s="20">
        <f>T40/S40</f>
        <v>7.5579999999999996E-3</v>
      </c>
      <c r="R40" s="25" t="s">
        <v>44</v>
      </c>
      <c r="S40" s="27">
        <v>10</v>
      </c>
      <c r="T40" s="41">
        <f>75.58/1000</f>
        <v>7.5579999999999994E-2</v>
      </c>
      <c r="U40" s="14" t="s">
        <v>55</v>
      </c>
      <c r="V40" s="10" t="s">
        <v>140</v>
      </c>
    </row>
    <row r="41" spans="1:22" ht="24" x14ac:dyDescent="0.25">
      <c r="A41" s="22">
        <v>26</v>
      </c>
      <c r="B41" s="15">
        <v>44050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1" t="s">
        <v>34</v>
      </c>
      <c r="O41" s="13"/>
      <c r="P41" s="43" t="s">
        <v>66</v>
      </c>
      <c r="Q41" s="20">
        <f>T41/S41</f>
        <v>1.2800000000000001E-2</v>
      </c>
      <c r="R41" s="25" t="s">
        <v>44</v>
      </c>
      <c r="S41" s="27">
        <v>5</v>
      </c>
      <c r="T41" s="40">
        <f>64/1000</f>
        <v>6.4000000000000001E-2</v>
      </c>
      <c r="U41" s="14" t="s">
        <v>55</v>
      </c>
      <c r="V41" s="10" t="s">
        <v>140</v>
      </c>
    </row>
    <row r="42" spans="1:22" ht="24" x14ac:dyDescent="0.25">
      <c r="A42" s="22">
        <v>27</v>
      </c>
      <c r="B42" s="15">
        <v>44053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1" t="s">
        <v>34</v>
      </c>
      <c r="O42" s="13"/>
      <c r="P42" s="43" t="s">
        <v>136</v>
      </c>
      <c r="Q42" s="20">
        <f>T42/S42</f>
        <v>0.79166499999999995</v>
      </c>
      <c r="R42" s="25" t="s">
        <v>44</v>
      </c>
      <c r="S42" s="27">
        <v>2</v>
      </c>
      <c r="T42" s="41">
        <f>1583.33/1000</f>
        <v>1.5833299999999999</v>
      </c>
      <c r="U42" s="14" t="s">
        <v>51</v>
      </c>
      <c r="V42" s="10" t="s">
        <v>137</v>
      </c>
    </row>
    <row r="43" spans="1:22" ht="24" x14ac:dyDescent="0.25">
      <c r="A43" s="22">
        <v>28</v>
      </c>
      <c r="B43" s="15">
        <v>44053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1" t="s">
        <v>34</v>
      </c>
      <c r="O43" s="13"/>
      <c r="P43" s="9" t="s">
        <v>53</v>
      </c>
      <c r="Q43" s="38">
        <f>T43/S43</f>
        <v>1.31073</v>
      </c>
      <c r="R43" s="18" t="s">
        <v>72</v>
      </c>
      <c r="S43" s="18">
        <v>1</v>
      </c>
      <c r="T43" s="39">
        <f>1310.73/1000</f>
        <v>1.31073</v>
      </c>
      <c r="U43" s="17" t="s">
        <v>36</v>
      </c>
      <c r="V43" s="10" t="s">
        <v>163</v>
      </c>
    </row>
    <row r="44" spans="1:22" ht="24" x14ac:dyDescent="0.25">
      <c r="A44" s="22">
        <v>29</v>
      </c>
      <c r="B44" s="15">
        <v>44053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1" t="s">
        <v>34</v>
      </c>
      <c r="O44" s="13"/>
      <c r="P44" s="9" t="s">
        <v>164</v>
      </c>
      <c r="Q44" s="34">
        <f>T44</f>
        <v>2</v>
      </c>
      <c r="R44" s="25" t="s">
        <v>44</v>
      </c>
      <c r="S44" s="25">
        <v>1</v>
      </c>
      <c r="T44" s="39">
        <f>2000/1000</f>
        <v>2</v>
      </c>
      <c r="U44" s="14" t="s">
        <v>42</v>
      </c>
      <c r="V44" s="10" t="s">
        <v>165</v>
      </c>
    </row>
    <row r="45" spans="1:22" ht="24" x14ac:dyDescent="0.25">
      <c r="A45" s="22">
        <v>30</v>
      </c>
      <c r="B45" s="15">
        <v>44054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1" t="s">
        <v>34</v>
      </c>
      <c r="O45" s="13"/>
      <c r="P45" s="9" t="s">
        <v>160</v>
      </c>
      <c r="Q45" s="19">
        <f>23375/1000</f>
        <v>23.375</v>
      </c>
      <c r="R45" s="18" t="s">
        <v>37</v>
      </c>
      <c r="S45" s="18" t="s">
        <v>37</v>
      </c>
      <c r="T45" s="23">
        <f>23375/1000</f>
        <v>23.375</v>
      </c>
      <c r="U45" s="14" t="s">
        <v>52</v>
      </c>
      <c r="V45" s="10" t="s">
        <v>162</v>
      </c>
    </row>
    <row r="46" spans="1:22" ht="24" x14ac:dyDescent="0.25">
      <c r="A46" s="22">
        <v>31</v>
      </c>
      <c r="B46" s="15">
        <v>44054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1" t="s">
        <v>34</v>
      </c>
      <c r="O46" s="13"/>
      <c r="P46" s="9" t="s">
        <v>160</v>
      </c>
      <c r="Q46" s="19">
        <f>23375/1000</f>
        <v>23.375</v>
      </c>
      <c r="R46" s="18" t="s">
        <v>37</v>
      </c>
      <c r="S46" s="18" t="s">
        <v>37</v>
      </c>
      <c r="T46" s="23">
        <f>23375/1000</f>
        <v>23.375</v>
      </c>
      <c r="U46" s="14" t="s">
        <v>52</v>
      </c>
      <c r="V46" s="10" t="s">
        <v>161</v>
      </c>
    </row>
    <row r="47" spans="1:22" ht="24" x14ac:dyDescent="0.25">
      <c r="A47" s="22">
        <v>32</v>
      </c>
      <c r="B47" s="16">
        <v>44055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 t="s">
        <v>34</v>
      </c>
      <c r="O47" s="11"/>
      <c r="P47" s="43" t="s">
        <v>89</v>
      </c>
      <c r="Q47" s="20">
        <f>T47</f>
        <v>1.0619999999999999E-2</v>
      </c>
      <c r="R47" s="25" t="s">
        <v>44</v>
      </c>
      <c r="S47" s="29">
        <v>1</v>
      </c>
      <c r="T47" s="41">
        <f>10.62/1000</f>
        <v>1.0619999999999999E-2</v>
      </c>
      <c r="U47" s="14" t="s">
        <v>127</v>
      </c>
      <c r="V47" s="10" t="s">
        <v>132</v>
      </c>
    </row>
    <row r="48" spans="1:22" ht="24" x14ac:dyDescent="0.25">
      <c r="A48" s="22">
        <v>33</v>
      </c>
      <c r="B48" s="15">
        <v>44055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1" t="s">
        <v>34</v>
      </c>
      <c r="O48" s="13"/>
      <c r="P48" s="43" t="s">
        <v>95</v>
      </c>
      <c r="Q48" s="20">
        <f>T48/S48</f>
        <v>0.125</v>
      </c>
      <c r="R48" s="25" t="s">
        <v>44</v>
      </c>
      <c r="S48" s="27">
        <v>20</v>
      </c>
      <c r="T48" s="41">
        <f>2500/1000</f>
        <v>2.5</v>
      </c>
      <c r="U48" s="14" t="s">
        <v>127</v>
      </c>
      <c r="V48" s="10" t="s">
        <v>132</v>
      </c>
    </row>
    <row r="49" spans="1:23" ht="36" x14ac:dyDescent="0.25">
      <c r="A49" s="22">
        <v>34</v>
      </c>
      <c r="B49" s="15">
        <v>44055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1" t="s">
        <v>34</v>
      </c>
      <c r="O49" s="13"/>
      <c r="P49" s="43" t="s">
        <v>106</v>
      </c>
      <c r="Q49" s="20">
        <f>T49/S49</f>
        <v>0.13717499999999999</v>
      </c>
      <c r="R49" s="25" t="s">
        <v>44</v>
      </c>
      <c r="S49" s="27">
        <v>10</v>
      </c>
      <c r="T49" s="41">
        <f>1371.75/1000</f>
        <v>1.37175</v>
      </c>
      <c r="U49" s="14" t="s">
        <v>127</v>
      </c>
      <c r="V49" s="10" t="s">
        <v>132</v>
      </c>
    </row>
    <row r="50" spans="1:23" ht="24" x14ac:dyDescent="0.25">
      <c r="A50" s="22">
        <v>35</v>
      </c>
      <c r="B50" s="15">
        <v>44055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1" t="s">
        <v>34</v>
      </c>
      <c r="O50" s="13"/>
      <c r="P50" s="43" t="s">
        <v>109</v>
      </c>
      <c r="Q50" s="20">
        <f>T50</f>
        <v>0.27767000000000003</v>
      </c>
      <c r="R50" s="25" t="s">
        <v>44</v>
      </c>
      <c r="S50" s="27">
        <v>1</v>
      </c>
      <c r="T50" s="41">
        <f>277.67/1000</f>
        <v>0.27767000000000003</v>
      </c>
      <c r="U50" s="14" t="s">
        <v>127</v>
      </c>
      <c r="V50" s="10" t="s">
        <v>132</v>
      </c>
    </row>
    <row r="51" spans="1:23" x14ac:dyDescent="0.25">
      <c r="A51" s="22">
        <v>36</v>
      </c>
      <c r="B51" s="15">
        <v>44055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1" t="s">
        <v>34</v>
      </c>
      <c r="O51" s="13"/>
      <c r="P51" s="43" t="s">
        <v>110</v>
      </c>
      <c r="Q51" s="20">
        <f>690.85/1000</f>
        <v>0.69085000000000008</v>
      </c>
      <c r="R51" s="25" t="s">
        <v>135</v>
      </c>
      <c r="S51" s="27">
        <v>247</v>
      </c>
      <c r="T51" s="41">
        <f>170639.95/1000</f>
        <v>170.63995</v>
      </c>
      <c r="U51" s="14" t="s">
        <v>133</v>
      </c>
      <c r="V51" s="10" t="s">
        <v>134</v>
      </c>
    </row>
    <row r="52" spans="1:23" ht="24" x14ac:dyDescent="0.25">
      <c r="A52" s="22">
        <v>37</v>
      </c>
      <c r="B52" s="15">
        <v>44057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1" t="s">
        <v>34</v>
      </c>
      <c r="O52" s="13"/>
      <c r="P52" s="43" t="s">
        <v>85</v>
      </c>
      <c r="Q52" s="20">
        <f>T52/S52</f>
        <v>0.20416499999999999</v>
      </c>
      <c r="R52" s="25" t="s">
        <v>44</v>
      </c>
      <c r="S52" s="27">
        <v>2</v>
      </c>
      <c r="T52" s="40">
        <f>408.33/1000</f>
        <v>0.40832999999999997</v>
      </c>
      <c r="U52" s="14" t="s">
        <v>55</v>
      </c>
      <c r="V52" s="10" t="s">
        <v>131</v>
      </c>
    </row>
    <row r="53" spans="1:23" ht="24" customHeight="1" x14ac:dyDescent="0.25">
      <c r="A53" s="22">
        <v>38</v>
      </c>
      <c r="B53" s="16">
        <v>44057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 t="s">
        <v>34</v>
      </c>
      <c r="O53" s="11"/>
      <c r="P53" s="44" t="s">
        <v>73</v>
      </c>
      <c r="Q53" s="33">
        <f>T53/S53</f>
        <v>0.1</v>
      </c>
      <c r="R53" s="33" t="s">
        <v>63</v>
      </c>
      <c r="S53" s="33">
        <v>1</v>
      </c>
      <c r="T53" s="40">
        <f>100/1000</f>
        <v>0.1</v>
      </c>
      <c r="U53" s="14" t="s">
        <v>55</v>
      </c>
      <c r="V53" s="10" t="s">
        <v>131</v>
      </c>
    </row>
    <row r="54" spans="1:23" ht="24" customHeight="1" x14ac:dyDescent="0.25">
      <c r="A54" s="22">
        <v>39</v>
      </c>
      <c r="B54" s="15">
        <v>44057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 t="s">
        <v>34</v>
      </c>
      <c r="O54" s="11"/>
      <c r="P54" s="43" t="s">
        <v>88</v>
      </c>
      <c r="Q54" s="20">
        <f>T54</f>
        <v>1.4800000000000001E-2</v>
      </c>
      <c r="R54" s="25" t="s">
        <v>44</v>
      </c>
      <c r="S54" s="29">
        <v>1</v>
      </c>
      <c r="T54" s="40">
        <f>14.8/1000</f>
        <v>1.4800000000000001E-2</v>
      </c>
      <c r="U54" s="14" t="s">
        <v>55</v>
      </c>
      <c r="V54" s="10" t="s">
        <v>131</v>
      </c>
    </row>
    <row r="55" spans="1:23" ht="24" x14ac:dyDescent="0.25">
      <c r="A55" s="22">
        <v>40</v>
      </c>
      <c r="B55" s="15">
        <v>44057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1" t="s">
        <v>34</v>
      </c>
      <c r="O55" s="13"/>
      <c r="P55" s="44" t="s">
        <v>74</v>
      </c>
      <c r="Q55" s="20">
        <f>T55/S55</f>
        <v>3.5067500000000001E-2</v>
      </c>
      <c r="R55" s="25" t="s">
        <v>44</v>
      </c>
      <c r="S55" s="27">
        <v>4</v>
      </c>
      <c r="T55" s="40">
        <f>140.27/1000</f>
        <v>0.14027000000000001</v>
      </c>
      <c r="U55" s="14" t="s">
        <v>55</v>
      </c>
      <c r="V55" s="10" t="s">
        <v>131</v>
      </c>
    </row>
    <row r="56" spans="1:23" ht="24" x14ac:dyDescent="0.25">
      <c r="A56" s="22">
        <v>41</v>
      </c>
      <c r="B56" s="15">
        <v>44057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1" t="s">
        <v>34</v>
      </c>
      <c r="O56" s="13"/>
      <c r="P56" s="43" t="s">
        <v>90</v>
      </c>
      <c r="Q56" s="20">
        <f>T56</f>
        <v>3.9960000000000002E-2</v>
      </c>
      <c r="R56" s="25" t="s">
        <v>44</v>
      </c>
      <c r="S56" s="27">
        <v>1</v>
      </c>
      <c r="T56" s="40">
        <f>39.96/1000</f>
        <v>3.9960000000000002E-2</v>
      </c>
      <c r="U56" s="14" t="s">
        <v>55</v>
      </c>
      <c r="V56" s="10" t="s">
        <v>131</v>
      </c>
    </row>
    <row r="57" spans="1:23" ht="24" x14ac:dyDescent="0.25">
      <c r="A57" s="22">
        <v>42</v>
      </c>
      <c r="B57" s="15">
        <v>44057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1" t="s">
        <v>34</v>
      </c>
      <c r="O57" s="13"/>
      <c r="P57" s="44" t="s">
        <v>92</v>
      </c>
      <c r="Q57" s="20">
        <f>T57</f>
        <v>0.155</v>
      </c>
      <c r="R57" s="25" t="s">
        <v>44</v>
      </c>
      <c r="S57" s="27">
        <v>1</v>
      </c>
      <c r="T57" s="40">
        <f>155/1000</f>
        <v>0.155</v>
      </c>
      <c r="U57" s="14" t="s">
        <v>55</v>
      </c>
      <c r="V57" s="10" t="s">
        <v>131</v>
      </c>
    </row>
    <row r="58" spans="1:23" ht="24" x14ac:dyDescent="0.25">
      <c r="A58" s="22">
        <v>43</v>
      </c>
      <c r="B58" s="15">
        <v>44057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1" t="s">
        <v>34</v>
      </c>
      <c r="O58" s="13"/>
      <c r="P58" s="44" t="s">
        <v>93</v>
      </c>
      <c r="Q58" s="20">
        <f>T58/S58</f>
        <v>0.29916666666666664</v>
      </c>
      <c r="R58" s="25" t="s">
        <v>44</v>
      </c>
      <c r="S58" s="27">
        <v>3</v>
      </c>
      <c r="T58" s="40">
        <f>897.5/1000</f>
        <v>0.89749999999999996</v>
      </c>
      <c r="U58" s="14" t="s">
        <v>55</v>
      </c>
      <c r="V58" s="10" t="s">
        <v>131</v>
      </c>
    </row>
    <row r="59" spans="1:23" ht="24" x14ac:dyDescent="0.25">
      <c r="A59" s="22">
        <v>44</v>
      </c>
      <c r="B59" s="15">
        <v>44057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1" t="s">
        <v>34</v>
      </c>
      <c r="O59" s="13"/>
      <c r="P59" s="43" t="s">
        <v>64</v>
      </c>
      <c r="Q59" s="20">
        <f>T59</f>
        <v>0.125</v>
      </c>
      <c r="R59" s="25" t="s">
        <v>44</v>
      </c>
      <c r="S59" s="27">
        <v>1</v>
      </c>
      <c r="T59" s="40">
        <f>125/1000</f>
        <v>0.125</v>
      </c>
      <c r="U59" s="14" t="s">
        <v>55</v>
      </c>
      <c r="V59" s="10" t="s">
        <v>131</v>
      </c>
    </row>
    <row r="60" spans="1:23" ht="24" x14ac:dyDescent="0.25">
      <c r="A60" s="22">
        <v>45</v>
      </c>
      <c r="B60" s="15">
        <v>44057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1" t="s">
        <v>34</v>
      </c>
      <c r="O60" s="13"/>
      <c r="P60" s="44" t="s">
        <v>76</v>
      </c>
      <c r="Q60" s="20">
        <f>T60/S60</f>
        <v>2.9367500000000001E-2</v>
      </c>
      <c r="R60" s="25" t="s">
        <v>44</v>
      </c>
      <c r="S60" s="27">
        <v>4</v>
      </c>
      <c r="T60" s="40">
        <f>117.47/1000</f>
        <v>0.11747</v>
      </c>
      <c r="U60" s="14" t="s">
        <v>55</v>
      </c>
      <c r="V60" s="10" t="s">
        <v>131</v>
      </c>
      <c r="W60" t="s">
        <v>130</v>
      </c>
    </row>
    <row r="61" spans="1:23" ht="24" x14ac:dyDescent="0.25">
      <c r="A61" s="22">
        <v>46</v>
      </c>
      <c r="B61" s="15">
        <v>44057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1" t="s">
        <v>34</v>
      </c>
      <c r="O61" s="13"/>
      <c r="P61" s="43" t="s">
        <v>97</v>
      </c>
      <c r="Q61" s="20">
        <f>T61/S61</f>
        <v>3.8990000000000004E-2</v>
      </c>
      <c r="R61" s="25" t="s">
        <v>44</v>
      </c>
      <c r="S61" s="27">
        <v>1</v>
      </c>
      <c r="T61" s="40">
        <f>38.99/1000</f>
        <v>3.8990000000000004E-2</v>
      </c>
      <c r="U61" s="14" t="s">
        <v>55</v>
      </c>
      <c r="V61" s="10" t="s">
        <v>131</v>
      </c>
    </row>
    <row r="62" spans="1:23" ht="24" x14ac:dyDescent="0.25">
      <c r="A62" s="22">
        <v>47</v>
      </c>
      <c r="B62" s="15">
        <v>44057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1" t="s">
        <v>34</v>
      </c>
      <c r="O62" s="13"/>
      <c r="P62" s="45" t="s">
        <v>77</v>
      </c>
      <c r="Q62" s="20">
        <f>T62</f>
        <v>0.22033000000000003</v>
      </c>
      <c r="R62" s="25" t="s">
        <v>44</v>
      </c>
      <c r="S62" s="27">
        <v>1</v>
      </c>
      <c r="T62" s="40">
        <f>220.33/1000</f>
        <v>0.22033000000000003</v>
      </c>
      <c r="U62" s="14" t="s">
        <v>55</v>
      </c>
      <c r="V62" s="10" t="s">
        <v>131</v>
      </c>
    </row>
    <row r="63" spans="1:23" ht="24" x14ac:dyDescent="0.25">
      <c r="A63" s="22">
        <v>48</v>
      </c>
      <c r="B63" s="15">
        <v>44057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1" t="s">
        <v>34</v>
      </c>
      <c r="O63" s="13"/>
      <c r="P63" s="43" t="s">
        <v>99</v>
      </c>
      <c r="Q63" s="20">
        <f>T63</f>
        <v>0.12417</v>
      </c>
      <c r="R63" s="25" t="s">
        <v>44</v>
      </c>
      <c r="S63" s="27">
        <v>1</v>
      </c>
      <c r="T63" s="40">
        <f>124.17/1000</f>
        <v>0.12417</v>
      </c>
      <c r="U63" s="14" t="s">
        <v>55</v>
      </c>
      <c r="V63" s="10" t="s">
        <v>131</v>
      </c>
    </row>
    <row r="64" spans="1:23" ht="24" x14ac:dyDescent="0.25">
      <c r="A64" s="22">
        <v>49</v>
      </c>
      <c r="B64" s="15">
        <v>44057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1" t="s">
        <v>34</v>
      </c>
      <c r="O64" s="13"/>
      <c r="P64" s="44" t="s">
        <v>100</v>
      </c>
      <c r="Q64" s="20">
        <f>T64</f>
        <v>2.3329999999999997E-2</v>
      </c>
      <c r="R64" s="25" t="s">
        <v>44</v>
      </c>
      <c r="S64" s="27">
        <v>1</v>
      </c>
      <c r="T64" s="40">
        <f>23.33/1000</f>
        <v>2.3329999999999997E-2</v>
      </c>
      <c r="U64" s="14" t="s">
        <v>55</v>
      </c>
      <c r="V64" s="10" t="s">
        <v>131</v>
      </c>
    </row>
    <row r="65" spans="1:22" ht="24" x14ac:dyDescent="0.25">
      <c r="A65" s="22">
        <v>50</v>
      </c>
      <c r="B65" s="15">
        <v>44057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1" t="s">
        <v>34</v>
      </c>
      <c r="O65" s="13"/>
      <c r="P65" s="44" t="s">
        <v>68</v>
      </c>
      <c r="Q65" s="37">
        <f>T65</f>
        <v>1.09E-2</v>
      </c>
      <c r="R65" s="18" t="s">
        <v>44</v>
      </c>
      <c r="S65" s="18">
        <v>1</v>
      </c>
      <c r="T65" s="40">
        <f>10.9/1000</f>
        <v>1.09E-2</v>
      </c>
      <c r="U65" s="14" t="s">
        <v>55</v>
      </c>
      <c r="V65" s="10" t="s">
        <v>131</v>
      </c>
    </row>
    <row r="66" spans="1:22" ht="24" x14ac:dyDescent="0.25">
      <c r="A66" s="22">
        <v>51</v>
      </c>
      <c r="B66" s="15">
        <v>44057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1" t="s">
        <v>34</v>
      </c>
      <c r="O66" s="13"/>
      <c r="P66" s="44" t="s">
        <v>79</v>
      </c>
      <c r="Q66" s="20">
        <f>T66/S66</f>
        <v>1.3066666666666669E-2</v>
      </c>
      <c r="R66" s="25" t="s">
        <v>44</v>
      </c>
      <c r="S66" s="27">
        <v>6</v>
      </c>
      <c r="T66" s="40">
        <f>78.4/1000</f>
        <v>7.8400000000000011E-2</v>
      </c>
      <c r="U66" s="14" t="s">
        <v>55</v>
      </c>
      <c r="V66" s="10" t="s">
        <v>131</v>
      </c>
    </row>
    <row r="67" spans="1:22" ht="24" x14ac:dyDescent="0.25">
      <c r="A67" s="22">
        <v>52</v>
      </c>
      <c r="B67" s="15">
        <v>44057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1" t="s">
        <v>34</v>
      </c>
      <c r="O67" s="13"/>
      <c r="P67" s="44" t="s">
        <v>80</v>
      </c>
      <c r="Q67" s="20">
        <f>T67/S67</f>
        <v>3.5475E-2</v>
      </c>
      <c r="R67" s="25" t="s">
        <v>44</v>
      </c>
      <c r="S67" s="27">
        <v>4</v>
      </c>
      <c r="T67" s="40">
        <f>141.9/1000</f>
        <v>0.1419</v>
      </c>
      <c r="U67" s="14" t="s">
        <v>55</v>
      </c>
      <c r="V67" s="10" t="s">
        <v>131</v>
      </c>
    </row>
    <row r="68" spans="1:22" ht="24" x14ac:dyDescent="0.25">
      <c r="A68" s="22">
        <v>53</v>
      </c>
      <c r="B68" s="15">
        <v>44057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1" t="s">
        <v>34</v>
      </c>
      <c r="O68" s="13"/>
      <c r="P68" s="43" t="s">
        <v>105</v>
      </c>
      <c r="Q68" s="20">
        <f>T68</f>
        <v>3.4909999999999997E-2</v>
      </c>
      <c r="R68" s="25" t="s">
        <v>44</v>
      </c>
      <c r="S68" s="27">
        <v>1</v>
      </c>
      <c r="T68" s="40">
        <f>34.91/1000</f>
        <v>3.4909999999999997E-2</v>
      </c>
      <c r="U68" s="14" t="s">
        <v>55</v>
      </c>
      <c r="V68" s="10" t="s">
        <v>131</v>
      </c>
    </row>
    <row r="69" spans="1:22" ht="36" x14ac:dyDescent="0.25">
      <c r="A69" s="22">
        <v>54</v>
      </c>
      <c r="B69" s="15">
        <v>44057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1" t="s">
        <v>34</v>
      </c>
      <c r="O69" s="13"/>
      <c r="P69" s="45" t="s">
        <v>81</v>
      </c>
      <c r="Q69" s="20">
        <f>T69</f>
        <v>2.375</v>
      </c>
      <c r="R69" s="25" t="s">
        <v>44</v>
      </c>
      <c r="S69" s="27">
        <v>1</v>
      </c>
      <c r="T69" s="40">
        <f>2375/1000</f>
        <v>2.375</v>
      </c>
      <c r="U69" s="14" t="s">
        <v>55</v>
      </c>
      <c r="V69" s="10" t="s">
        <v>131</v>
      </c>
    </row>
    <row r="70" spans="1:22" ht="24" x14ac:dyDescent="0.25">
      <c r="A70" s="22">
        <v>55</v>
      </c>
      <c r="B70" s="15">
        <v>44057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1" t="s">
        <v>34</v>
      </c>
      <c r="O70" s="13"/>
      <c r="P70" s="43" t="s">
        <v>108</v>
      </c>
      <c r="Q70" s="20">
        <f>T70</f>
        <v>2.98333</v>
      </c>
      <c r="R70" s="25" t="s">
        <v>44</v>
      </c>
      <c r="S70" s="27">
        <v>1</v>
      </c>
      <c r="T70" s="40">
        <f>2983.33/1000</f>
        <v>2.98333</v>
      </c>
      <c r="U70" s="14" t="s">
        <v>55</v>
      </c>
      <c r="V70" s="10" t="s">
        <v>131</v>
      </c>
    </row>
    <row r="71" spans="1:22" ht="29.25" customHeight="1" x14ac:dyDescent="0.25">
      <c r="A71" s="22">
        <v>56</v>
      </c>
      <c r="B71" s="15">
        <v>44057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1" t="s">
        <v>34</v>
      </c>
      <c r="O71" s="13"/>
      <c r="P71" s="43" t="s">
        <v>83</v>
      </c>
      <c r="Q71" s="20">
        <f>T71</f>
        <v>0.24167</v>
      </c>
      <c r="R71" s="25" t="s">
        <v>44</v>
      </c>
      <c r="S71" s="27">
        <v>1</v>
      </c>
      <c r="T71" s="40">
        <f>241.67/1000</f>
        <v>0.24167</v>
      </c>
      <c r="U71" s="14" t="s">
        <v>55</v>
      </c>
      <c r="V71" s="10" t="s">
        <v>131</v>
      </c>
    </row>
    <row r="72" spans="1:22" ht="29.25" customHeight="1" x14ac:dyDescent="0.25">
      <c r="A72" s="22">
        <v>57</v>
      </c>
      <c r="B72" s="15">
        <v>44057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1" t="s">
        <v>34</v>
      </c>
      <c r="O72" s="13"/>
      <c r="P72" s="43" t="s">
        <v>112</v>
      </c>
      <c r="Q72" s="20">
        <f>T72</f>
        <v>3.2649999999999998E-2</v>
      </c>
      <c r="R72" s="25" t="s">
        <v>44</v>
      </c>
      <c r="S72" s="27">
        <v>1</v>
      </c>
      <c r="T72" s="40">
        <f>32.65/1000</f>
        <v>3.2649999999999998E-2</v>
      </c>
      <c r="U72" s="14" t="s">
        <v>55</v>
      </c>
      <c r="V72" s="10" t="s">
        <v>131</v>
      </c>
    </row>
    <row r="73" spans="1:22" ht="36" x14ac:dyDescent="0.25">
      <c r="A73" s="22">
        <v>58</v>
      </c>
      <c r="B73" s="15">
        <v>44057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1" t="s">
        <v>34</v>
      </c>
      <c r="O73" s="13"/>
      <c r="P73" s="43" t="s">
        <v>113</v>
      </c>
      <c r="Q73" s="20">
        <f>T73/S73</f>
        <v>1.7675E-2</v>
      </c>
      <c r="R73" s="25" t="s">
        <v>44</v>
      </c>
      <c r="S73" s="27">
        <v>20</v>
      </c>
      <c r="T73" s="40">
        <f>353.5/1000</f>
        <v>0.35349999999999998</v>
      </c>
      <c r="U73" s="14" t="s">
        <v>55</v>
      </c>
      <c r="V73" s="10" t="s">
        <v>131</v>
      </c>
    </row>
    <row r="74" spans="1:22" ht="24" x14ac:dyDescent="0.25">
      <c r="A74" s="22">
        <v>59</v>
      </c>
      <c r="B74" s="15">
        <v>44057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1" t="s">
        <v>34</v>
      </c>
      <c r="O74" s="13"/>
      <c r="P74" s="43" t="s">
        <v>66</v>
      </c>
      <c r="Q74" s="20">
        <f>T74</f>
        <v>0.25600000000000001</v>
      </c>
      <c r="R74" s="25" t="s">
        <v>44</v>
      </c>
      <c r="S74" s="27">
        <v>20</v>
      </c>
      <c r="T74" s="40">
        <f>256/1000</f>
        <v>0.25600000000000001</v>
      </c>
      <c r="U74" s="14" t="s">
        <v>55</v>
      </c>
      <c r="V74" s="10" t="s">
        <v>131</v>
      </c>
    </row>
    <row r="75" spans="1:22" ht="24" x14ac:dyDescent="0.25">
      <c r="A75" s="22">
        <v>60</v>
      </c>
      <c r="B75" s="15">
        <v>44057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1" t="s">
        <v>34</v>
      </c>
      <c r="O75" s="13"/>
      <c r="P75" s="43" t="s">
        <v>115</v>
      </c>
      <c r="Q75" s="20">
        <f>153.47/1000</f>
        <v>0.15347</v>
      </c>
      <c r="R75" s="25" t="s">
        <v>71</v>
      </c>
      <c r="S75" s="27">
        <v>2.5</v>
      </c>
      <c r="T75" s="40">
        <f>383.67/1000</f>
        <v>0.38367000000000001</v>
      </c>
      <c r="U75" s="14" t="s">
        <v>55</v>
      </c>
      <c r="V75" s="10" t="s">
        <v>131</v>
      </c>
    </row>
    <row r="76" spans="1:22" ht="24" x14ac:dyDescent="0.25">
      <c r="A76" s="22">
        <v>61</v>
      </c>
      <c r="B76" s="16">
        <v>44060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 t="s">
        <v>34</v>
      </c>
      <c r="O76" s="11"/>
      <c r="P76" s="44" t="s">
        <v>73</v>
      </c>
      <c r="Q76" s="33">
        <f>T76/S76</f>
        <v>0.1</v>
      </c>
      <c r="R76" s="33" t="s">
        <v>63</v>
      </c>
      <c r="S76" s="33">
        <v>1</v>
      </c>
      <c r="T76" s="40">
        <f>100/1000</f>
        <v>0.1</v>
      </c>
      <c r="U76" s="14" t="s">
        <v>55</v>
      </c>
      <c r="V76" s="10" t="s">
        <v>129</v>
      </c>
    </row>
    <row r="77" spans="1:22" ht="24" x14ac:dyDescent="0.25">
      <c r="A77" s="22">
        <v>62</v>
      </c>
      <c r="B77" s="15">
        <v>44060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1" t="s">
        <v>34</v>
      </c>
      <c r="O77" s="13"/>
      <c r="P77" s="44" t="s">
        <v>74</v>
      </c>
      <c r="Q77" s="20">
        <f>T77/S77</f>
        <v>3.1734999999999999E-2</v>
      </c>
      <c r="R77" s="25" t="s">
        <v>44</v>
      </c>
      <c r="S77" s="27">
        <v>2</v>
      </c>
      <c r="T77" s="40">
        <f>63.47/1000</f>
        <v>6.3469999999999999E-2</v>
      </c>
      <c r="U77" s="14" t="s">
        <v>55</v>
      </c>
      <c r="V77" s="10" t="s">
        <v>129</v>
      </c>
    </row>
    <row r="78" spans="1:22" ht="24" x14ac:dyDescent="0.25">
      <c r="A78" s="22">
        <v>63</v>
      </c>
      <c r="B78" s="15">
        <v>44060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1" t="s">
        <v>34</v>
      </c>
      <c r="O78" s="13"/>
      <c r="P78" s="44" t="s">
        <v>91</v>
      </c>
      <c r="Q78" s="20">
        <f>T78</f>
        <v>9.8239999999999994E-2</v>
      </c>
      <c r="R78" s="25" t="s">
        <v>44</v>
      </c>
      <c r="S78" s="27">
        <v>1</v>
      </c>
      <c r="T78" s="40">
        <f>98.24/1000</f>
        <v>9.8239999999999994E-2</v>
      </c>
      <c r="U78" s="14" t="s">
        <v>55</v>
      </c>
      <c r="V78" s="10" t="s">
        <v>129</v>
      </c>
    </row>
    <row r="79" spans="1:22" ht="24" x14ac:dyDescent="0.25">
      <c r="A79" s="22">
        <v>64</v>
      </c>
      <c r="B79" s="15">
        <v>44060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1" t="s">
        <v>34</v>
      </c>
      <c r="O79" s="13"/>
      <c r="P79" s="44" t="s">
        <v>92</v>
      </c>
      <c r="Q79" s="20">
        <f>T79</f>
        <v>0.155</v>
      </c>
      <c r="R79" s="25" t="s">
        <v>44</v>
      </c>
      <c r="S79" s="27">
        <v>1</v>
      </c>
      <c r="T79" s="40">
        <f>155/1000</f>
        <v>0.155</v>
      </c>
      <c r="U79" s="14" t="s">
        <v>55</v>
      </c>
      <c r="V79" s="10" t="s">
        <v>129</v>
      </c>
    </row>
    <row r="80" spans="1:22" ht="24" x14ac:dyDescent="0.25">
      <c r="A80" s="22">
        <v>65</v>
      </c>
      <c r="B80" s="15">
        <v>44060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1" t="s">
        <v>34</v>
      </c>
      <c r="O80" s="13"/>
      <c r="P80" s="44" t="s">
        <v>93</v>
      </c>
      <c r="Q80" s="20">
        <f>T80</f>
        <v>0.29916999999999999</v>
      </c>
      <c r="R80" s="25" t="s">
        <v>44</v>
      </c>
      <c r="S80" s="27">
        <f>1</f>
        <v>1</v>
      </c>
      <c r="T80" s="40">
        <f>299.17/1000</f>
        <v>0.29916999999999999</v>
      </c>
      <c r="U80" s="14" t="s">
        <v>55</v>
      </c>
      <c r="V80" s="10" t="s">
        <v>129</v>
      </c>
    </row>
    <row r="81" spans="1:22" ht="24" x14ac:dyDescent="0.25">
      <c r="A81" s="22">
        <v>66</v>
      </c>
      <c r="B81" s="15">
        <v>44060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1" t="s">
        <v>34</v>
      </c>
      <c r="O81" s="13"/>
      <c r="P81" s="32" t="s">
        <v>64</v>
      </c>
      <c r="Q81" s="20">
        <f>T81</f>
        <v>0.125</v>
      </c>
      <c r="R81" s="25" t="s">
        <v>44</v>
      </c>
      <c r="S81" s="27">
        <v>1</v>
      </c>
      <c r="T81" s="40">
        <f>125/1000</f>
        <v>0.125</v>
      </c>
      <c r="U81" s="14" t="s">
        <v>55</v>
      </c>
      <c r="V81" s="10" t="s">
        <v>129</v>
      </c>
    </row>
    <row r="82" spans="1:22" ht="24" x14ac:dyDescent="0.25">
      <c r="A82" s="22">
        <v>67</v>
      </c>
      <c r="B82" s="15">
        <v>44060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1" t="s">
        <v>34</v>
      </c>
      <c r="O82" s="13"/>
      <c r="P82" s="44" t="s">
        <v>76</v>
      </c>
      <c r="Q82" s="20">
        <f>T82/S82</f>
        <v>4.8299999999999996E-2</v>
      </c>
      <c r="R82" s="25" t="s">
        <v>44</v>
      </c>
      <c r="S82" s="27">
        <v>2</v>
      </c>
      <c r="T82" s="40">
        <f>96.6/1000</f>
        <v>9.6599999999999991E-2</v>
      </c>
      <c r="U82" s="14" t="s">
        <v>55</v>
      </c>
      <c r="V82" s="10" t="s">
        <v>129</v>
      </c>
    </row>
    <row r="83" spans="1:22" ht="24" x14ac:dyDescent="0.25">
      <c r="A83" s="22">
        <v>68</v>
      </c>
      <c r="B83" s="15">
        <v>44060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1" t="s">
        <v>34</v>
      </c>
      <c r="O83" s="13"/>
      <c r="P83" s="43" t="s">
        <v>100</v>
      </c>
      <c r="Q83" s="20">
        <f>T83</f>
        <v>2.3329999999999997E-2</v>
      </c>
      <c r="R83" s="25" t="s">
        <v>44</v>
      </c>
      <c r="S83" s="27">
        <v>1</v>
      </c>
      <c r="T83" s="40">
        <f>23.33/1000</f>
        <v>2.3329999999999997E-2</v>
      </c>
      <c r="U83" s="14" t="s">
        <v>55</v>
      </c>
      <c r="V83" s="10" t="s">
        <v>125</v>
      </c>
    </row>
    <row r="84" spans="1:22" ht="24" x14ac:dyDescent="0.25">
      <c r="A84" s="22">
        <v>69</v>
      </c>
      <c r="B84" s="15">
        <v>44060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1" t="s">
        <v>34</v>
      </c>
      <c r="O84" s="13"/>
      <c r="P84" s="44" t="s">
        <v>100</v>
      </c>
      <c r="Q84" s="20">
        <f>T84</f>
        <v>2.3329999999999997E-2</v>
      </c>
      <c r="R84" s="25" t="s">
        <v>44</v>
      </c>
      <c r="S84" s="27">
        <v>1</v>
      </c>
      <c r="T84" s="40">
        <f>23.33/1000</f>
        <v>2.3329999999999997E-2</v>
      </c>
      <c r="U84" s="14" t="s">
        <v>55</v>
      </c>
      <c r="V84" s="10" t="s">
        <v>129</v>
      </c>
    </row>
    <row r="85" spans="1:22" ht="24" x14ac:dyDescent="0.25">
      <c r="A85" s="22">
        <v>70</v>
      </c>
      <c r="B85" s="15">
        <v>44060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1" t="s">
        <v>34</v>
      </c>
      <c r="O85" s="13"/>
      <c r="P85" s="44" t="s">
        <v>78</v>
      </c>
      <c r="Q85" s="20">
        <f>T85</f>
        <v>7.5799999999999999E-3</v>
      </c>
      <c r="R85" s="18" t="s">
        <v>44</v>
      </c>
      <c r="S85" s="27">
        <v>1</v>
      </c>
      <c r="T85" s="40">
        <f>7.58/1000</f>
        <v>7.5799999999999999E-3</v>
      </c>
      <c r="U85" s="14" t="s">
        <v>55</v>
      </c>
      <c r="V85" s="10" t="s">
        <v>129</v>
      </c>
    </row>
    <row r="86" spans="1:22" ht="24" x14ac:dyDescent="0.25">
      <c r="A86" s="22">
        <v>71</v>
      </c>
      <c r="B86" s="15">
        <v>44060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1" t="s">
        <v>34</v>
      </c>
      <c r="O86" s="13"/>
      <c r="P86" s="44" t="s">
        <v>68</v>
      </c>
      <c r="Q86" s="37">
        <f>T86</f>
        <v>1.09E-2</v>
      </c>
      <c r="R86" s="18" t="s">
        <v>44</v>
      </c>
      <c r="S86" s="18">
        <v>1</v>
      </c>
      <c r="T86" s="40">
        <f>10.9/1000</f>
        <v>1.09E-2</v>
      </c>
      <c r="U86" s="14" t="s">
        <v>55</v>
      </c>
      <c r="V86" s="10" t="s">
        <v>129</v>
      </c>
    </row>
    <row r="87" spans="1:22" ht="24" x14ac:dyDescent="0.25">
      <c r="A87" s="22">
        <v>72</v>
      </c>
      <c r="B87" s="15">
        <v>44060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1" t="s">
        <v>34</v>
      </c>
      <c r="O87" s="13"/>
      <c r="P87" s="44" t="s">
        <v>79</v>
      </c>
      <c r="Q87" s="20">
        <f>T87/S87</f>
        <v>1.3067500000000001E-2</v>
      </c>
      <c r="R87" s="25" t="s">
        <v>44</v>
      </c>
      <c r="S87" s="27">
        <v>4</v>
      </c>
      <c r="T87" s="40">
        <f>52.27/1000</f>
        <v>5.2270000000000004E-2</v>
      </c>
      <c r="U87" s="14" t="s">
        <v>55</v>
      </c>
      <c r="V87" s="10" t="s">
        <v>129</v>
      </c>
    </row>
    <row r="88" spans="1:22" ht="24" x14ac:dyDescent="0.25">
      <c r="A88" s="22">
        <v>73</v>
      </c>
      <c r="B88" s="15">
        <v>44060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1" t="s">
        <v>34</v>
      </c>
      <c r="O88" s="13"/>
      <c r="P88" s="44" t="s">
        <v>80</v>
      </c>
      <c r="Q88" s="20">
        <f>T88/S88</f>
        <v>3.1309999999999998E-2</v>
      </c>
      <c r="R88" s="25" t="s">
        <v>44</v>
      </c>
      <c r="S88" s="27">
        <v>2</v>
      </c>
      <c r="T88" s="40">
        <f>62.62/1000</f>
        <v>6.2619999999999995E-2</v>
      </c>
      <c r="U88" s="14" t="s">
        <v>55</v>
      </c>
      <c r="V88" s="10" t="s">
        <v>129</v>
      </c>
    </row>
    <row r="89" spans="1:22" ht="36" x14ac:dyDescent="0.25">
      <c r="A89" s="22">
        <v>74</v>
      </c>
      <c r="B89" s="15">
        <v>44060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1" t="s">
        <v>34</v>
      </c>
      <c r="O89" s="13"/>
      <c r="P89" s="44" t="s">
        <v>81</v>
      </c>
      <c r="Q89" s="20">
        <f>T89</f>
        <v>2.375</v>
      </c>
      <c r="R89" s="25" t="s">
        <v>44</v>
      </c>
      <c r="S89" s="27">
        <v>1</v>
      </c>
      <c r="T89" s="40">
        <f>2375/1000</f>
        <v>2.375</v>
      </c>
      <c r="U89" s="14" t="s">
        <v>55</v>
      </c>
      <c r="V89" s="14" t="s">
        <v>129</v>
      </c>
    </row>
    <row r="90" spans="1:22" ht="24" x14ac:dyDescent="0.25">
      <c r="A90" s="22">
        <v>75</v>
      </c>
      <c r="B90" s="15">
        <v>44060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1" t="s">
        <v>34</v>
      </c>
      <c r="O90" s="13"/>
      <c r="P90" s="44" t="s">
        <v>107</v>
      </c>
      <c r="Q90" s="20">
        <f>T90</f>
        <v>1.4583299999999999</v>
      </c>
      <c r="R90" s="25" t="s">
        <v>44</v>
      </c>
      <c r="S90" s="27">
        <v>1</v>
      </c>
      <c r="T90" s="40">
        <f>1458.33/1000</f>
        <v>1.4583299999999999</v>
      </c>
      <c r="U90" s="14" t="s">
        <v>55</v>
      </c>
      <c r="V90" s="14" t="s">
        <v>129</v>
      </c>
    </row>
    <row r="91" spans="1:22" ht="24" x14ac:dyDescent="0.25">
      <c r="A91" s="22">
        <v>76</v>
      </c>
      <c r="B91" s="15">
        <v>44060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1" t="s">
        <v>34</v>
      </c>
      <c r="O91" s="13"/>
      <c r="P91" s="43" t="s">
        <v>83</v>
      </c>
      <c r="Q91" s="20">
        <f>T91</f>
        <v>0.24167</v>
      </c>
      <c r="R91" s="25" t="s">
        <v>44</v>
      </c>
      <c r="S91" s="27">
        <v>1</v>
      </c>
      <c r="T91" s="40">
        <f>241.67/1000</f>
        <v>0.24167</v>
      </c>
      <c r="U91" s="14" t="s">
        <v>55</v>
      </c>
      <c r="V91" s="10" t="s">
        <v>129</v>
      </c>
    </row>
    <row r="92" spans="1:22" ht="36" x14ac:dyDescent="0.25">
      <c r="A92" s="22">
        <v>77</v>
      </c>
      <c r="B92" s="15">
        <v>44060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1" t="s">
        <v>34</v>
      </c>
      <c r="O92" s="13"/>
      <c r="P92" s="43" t="s">
        <v>113</v>
      </c>
      <c r="Q92" s="20">
        <f>T92</f>
        <v>0.17674999999999999</v>
      </c>
      <c r="R92" s="25" t="s">
        <v>44</v>
      </c>
      <c r="S92" s="27">
        <v>10</v>
      </c>
      <c r="T92" s="41">
        <f>176.75/1000</f>
        <v>0.17674999999999999</v>
      </c>
      <c r="U92" s="14" t="s">
        <v>55</v>
      </c>
      <c r="V92" s="10" t="s">
        <v>129</v>
      </c>
    </row>
    <row r="93" spans="1:22" ht="24" x14ac:dyDescent="0.25">
      <c r="A93" s="22">
        <v>78</v>
      </c>
      <c r="B93" s="15">
        <v>44060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1" t="s">
        <v>34</v>
      </c>
      <c r="O93" s="13"/>
      <c r="P93" s="43" t="s">
        <v>66</v>
      </c>
      <c r="Q93" s="20">
        <f>T93</f>
        <v>0.128</v>
      </c>
      <c r="R93" s="25" t="s">
        <v>44</v>
      </c>
      <c r="S93" s="27">
        <v>10</v>
      </c>
      <c r="T93" s="41">
        <f>128/1000</f>
        <v>0.128</v>
      </c>
      <c r="U93" s="14" t="s">
        <v>55</v>
      </c>
      <c r="V93" s="10" t="s">
        <v>129</v>
      </c>
    </row>
    <row r="94" spans="1:22" ht="24" x14ac:dyDescent="0.25">
      <c r="A94" s="22">
        <v>79</v>
      </c>
      <c r="B94" s="15">
        <v>44062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1" t="s">
        <v>34</v>
      </c>
      <c r="O94" s="13"/>
      <c r="P94" s="43" t="s">
        <v>95</v>
      </c>
      <c r="Q94" s="20">
        <f>T94/S94</f>
        <v>0.125</v>
      </c>
      <c r="R94" s="25" t="s">
        <v>44</v>
      </c>
      <c r="S94" s="27">
        <v>10</v>
      </c>
      <c r="T94" s="41">
        <f>1250/1000</f>
        <v>1.25</v>
      </c>
      <c r="U94" s="14" t="s">
        <v>127</v>
      </c>
      <c r="V94" s="10" t="s">
        <v>128</v>
      </c>
    </row>
    <row r="95" spans="1:22" ht="24" x14ac:dyDescent="0.25">
      <c r="A95" s="22">
        <v>80</v>
      </c>
      <c r="B95" s="15">
        <v>44062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1" t="s">
        <v>34</v>
      </c>
      <c r="O95" s="13"/>
      <c r="P95" s="43" t="s">
        <v>65</v>
      </c>
      <c r="Q95" s="20">
        <f>T95</f>
        <v>2.3940000000000001</v>
      </c>
      <c r="R95" s="25" t="s">
        <v>44</v>
      </c>
      <c r="S95" s="27">
        <v>1</v>
      </c>
      <c r="T95" s="41">
        <f>2394/1000</f>
        <v>2.3940000000000001</v>
      </c>
      <c r="U95" s="14" t="s">
        <v>127</v>
      </c>
      <c r="V95" s="10" t="s">
        <v>128</v>
      </c>
    </row>
    <row r="96" spans="1:22" ht="24" x14ac:dyDescent="0.25">
      <c r="A96" s="22">
        <v>81</v>
      </c>
      <c r="B96" s="15">
        <v>44064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1" t="s">
        <v>34</v>
      </c>
      <c r="O96" s="13"/>
      <c r="P96" s="43" t="s">
        <v>85</v>
      </c>
      <c r="Q96" s="20">
        <f>T96</f>
        <v>0.20416999999999999</v>
      </c>
      <c r="R96" s="25" t="s">
        <v>44</v>
      </c>
      <c r="S96" s="27">
        <v>1</v>
      </c>
      <c r="T96" s="40">
        <f>204.17/1000</f>
        <v>0.20416999999999999</v>
      </c>
      <c r="U96" s="14" t="s">
        <v>55</v>
      </c>
      <c r="V96" s="10" t="s">
        <v>125</v>
      </c>
    </row>
    <row r="97" spans="1:22" ht="24" x14ac:dyDescent="0.25">
      <c r="A97" s="22">
        <v>82</v>
      </c>
      <c r="B97" s="16">
        <v>44064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 t="s">
        <v>34</v>
      </c>
      <c r="O97" s="11"/>
      <c r="P97" s="43" t="s">
        <v>73</v>
      </c>
      <c r="Q97" s="33">
        <f>T97/S97</f>
        <v>0.1</v>
      </c>
      <c r="R97" s="33" t="s">
        <v>63</v>
      </c>
      <c r="S97" s="33">
        <v>1</v>
      </c>
      <c r="T97" s="40">
        <f>100/1000</f>
        <v>0.1</v>
      </c>
      <c r="U97" s="14" t="s">
        <v>55</v>
      </c>
      <c r="V97" s="10" t="s">
        <v>125</v>
      </c>
    </row>
    <row r="98" spans="1:22" ht="24" x14ac:dyDescent="0.25">
      <c r="A98" s="22">
        <v>83</v>
      </c>
      <c r="B98" s="15">
        <v>44064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1" t="s">
        <v>34</v>
      </c>
      <c r="O98" s="13"/>
      <c r="P98" s="43" t="s">
        <v>74</v>
      </c>
      <c r="Q98" s="20">
        <f>T98/S98</f>
        <v>3.1734999999999999E-2</v>
      </c>
      <c r="R98" s="25" t="s">
        <v>44</v>
      </c>
      <c r="S98" s="27">
        <v>2</v>
      </c>
      <c r="T98" s="40">
        <f>63.47/1000</f>
        <v>6.3469999999999999E-2</v>
      </c>
      <c r="U98" s="14" t="s">
        <v>55</v>
      </c>
      <c r="V98" s="10" t="s">
        <v>125</v>
      </c>
    </row>
    <row r="99" spans="1:22" ht="24" x14ac:dyDescent="0.25">
      <c r="A99" s="22">
        <v>84</v>
      </c>
      <c r="B99" s="15">
        <v>44064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1" t="s">
        <v>34</v>
      </c>
      <c r="O99" s="13"/>
      <c r="P99" s="43" t="s">
        <v>92</v>
      </c>
      <c r="Q99" s="20">
        <f>T99</f>
        <v>0.155</v>
      </c>
      <c r="R99" s="25" t="s">
        <v>44</v>
      </c>
      <c r="S99" s="27">
        <v>1</v>
      </c>
      <c r="T99" s="40">
        <f>155/1000</f>
        <v>0.155</v>
      </c>
      <c r="U99" s="14" t="s">
        <v>55</v>
      </c>
      <c r="V99" s="10" t="s">
        <v>125</v>
      </c>
    </row>
    <row r="100" spans="1:22" ht="25.5" customHeight="1" x14ac:dyDescent="0.25">
      <c r="A100" s="22">
        <v>85</v>
      </c>
      <c r="B100" s="15">
        <v>44064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1" t="s">
        <v>34</v>
      </c>
      <c r="O100" s="13"/>
      <c r="P100" s="43" t="s">
        <v>93</v>
      </c>
      <c r="Q100" s="20">
        <f>T100</f>
        <v>0.29916999999999999</v>
      </c>
      <c r="R100" s="25" t="s">
        <v>44</v>
      </c>
      <c r="S100" s="27">
        <f>1</f>
        <v>1</v>
      </c>
      <c r="T100" s="40">
        <f>299.17/1000</f>
        <v>0.29916999999999999</v>
      </c>
      <c r="U100" s="14" t="s">
        <v>55</v>
      </c>
      <c r="V100" s="10" t="s">
        <v>125</v>
      </c>
    </row>
    <row r="101" spans="1:22" ht="24" x14ac:dyDescent="0.25">
      <c r="A101" s="22">
        <v>86</v>
      </c>
      <c r="B101" s="15">
        <v>44064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1" t="s">
        <v>34</v>
      </c>
      <c r="O101" s="13"/>
      <c r="P101" s="43" t="s">
        <v>64</v>
      </c>
      <c r="Q101" s="20">
        <f>T101</f>
        <v>0.125</v>
      </c>
      <c r="R101" s="25" t="s">
        <v>44</v>
      </c>
      <c r="S101" s="27">
        <v>1</v>
      </c>
      <c r="T101" s="40">
        <f>125/1000</f>
        <v>0.125</v>
      </c>
      <c r="U101" s="14" t="s">
        <v>55</v>
      </c>
      <c r="V101" s="10" t="s">
        <v>125</v>
      </c>
    </row>
    <row r="102" spans="1:22" ht="29.25" customHeight="1" x14ac:dyDescent="0.25">
      <c r="A102" s="22">
        <v>87</v>
      </c>
      <c r="B102" s="15">
        <v>44064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1" t="s">
        <v>34</v>
      </c>
      <c r="O102" s="13"/>
      <c r="P102" s="43" t="s">
        <v>76</v>
      </c>
      <c r="Q102" s="20">
        <f>T102/S102</f>
        <v>2.52E-2</v>
      </c>
      <c r="R102" s="25" t="s">
        <v>44</v>
      </c>
      <c r="S102" s="27">
        <v>2</v>
      </c>
      <c r="T102" s="40">
        <f>50.4/1000</f>
        <v>5.04E-2</v>
      </c>
      <c r="U102" s="14" t="s">
        <v>55</v>
      </c>
      <c r="V102" s="10" t="s">
        <v>125</v>
      </c>
    </row>
    <row r="103" spans="1:22" ht="24" x14ac:dyDescent="0.25">
      <c r="A103" s="22">
        <v>88</v>
      </c>
      <c r="B103" s="15">
        <v>44064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1" t="s">
        <v>34</v>
      </c>
      <c r="O103" s="13"/>
      <c r="P103" s="45" t="s">
        <v>126</v>
      </c>
      <c r="Q103" s="20">
        <f>T103</f>
        <v>0.45</v>
      </c>
      <c r="R103" s="25" t="s">
        <v>44</v>
      </c>
      <c r="S103" s="27">
        <v>20</v>
      </c>
      <c r="T103" s="40">
        <f>450/1000</f>
        <v>0.45</v>
      </c>
      <c r="U103" s="14" t="s">
        <v>55</v>
      </c>
      <c r="V103" s="10" t="s">
        <v>125</v>
      </c>
    </row>
    <row r="104" spans="1:22" ht="24" x14ac:dyDescent="0.25">
      <c r="A104" s="22">
        <v>89</v>
      </c>
      <c r="B104" s="15">
        <v>44064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1" t="s">
        <v>34</v>
      </c>
      <c r="O104" s="13"/>
      <c r="P104" s="43" t="s">
        <v>68</v>
      </c>
      <c r="Q104" s="37">
        <f>T104</f>
        <v>1.09E-2</v>
      </c>
      <c r="R104" s="18" t="s">
        <v>44</v>
      </c>
      <c r="S104" s="18">
        <v>1</v>
      </c>
      <c r="T104" s="40">
        <f>10.9/1000</f>
        <v>1.09E-2</v>
      </c>
      <c r="U104" s="14" t="s">
        <v>55</v>
      </c>
      <c r="V104" s="10" t="s">
        <v>125</v>
      </c>
    </row>
    <row r="105" spans="1:22" ht="24" x14ac:dyDescent="0.25">
      <c r="A105" s="22">
        <v>90</v>
      </c>
      <c r="B105" s="15">
        <v>44064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1" t="s">
        <v>34</v>
      </c>
      <c r="O105" s="13"/>
      <c r="P105" s="43" t="s">
        <v>79</v>
      </c>
      <c r="Q105" s="20">
        <f>T105/S105</f>
        <v>1.3066666666666669E-2</v>
      </c>
      <c r="R105" s="25" t="s">
        <v>44</v>
      </c>
      <c r="S105" s="27">
        <v>6</v>
      </c>
      <c r="T105" s="40">
        <f>78.4/1000</f>
        <v>7.8400000000000011E-2</v>
      </c>
      <c r="U105" s="14" t="s">
        <v>55</v>
      </c>
      <c r="V105" s="10" t="s">
        <v>125</v>
      </c>
    </row>
    <row r="106" spans="1:22" ht="24" x14ac:dyDescent="0.25">
      <c r="A106" s="22">
        <v>91</v>
      </c>
      <c r="B106" s="15">
        <v>44064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1" t="s">
        <v>34</v>
      </c>
      <c r="O106" s="13"/>
      <c r="P106" s="43" t="s">
        <v>80</v>
      </c>
      <c r="Q106" s="20">
        <f>T106/S106</f>
        <v>3.1309999999999998E-2</v>
      </c>
      <c r="R106" s="25" t="s">
        <v>44</v>
      </c>
      <c r="S106" s="27">
        <v>2</v>
      </c>
      <c r="T106" s="40">
        <f>62.62/1000</f>
        <v>6.2619999999999995E-2</v>
      </c>
      <c r="U106" s="14" t="s">
        <v>55</v>
      </c>
      <c r="V106" s="10" t="s">
        <v>125</v>
      </c>
    </row>
    <row r="107" spans="1:22" ht="36" x14ac:dyDescent="0.25">
      <c r="A107" s="22">
        <v>92</v>
      </c>
      <c r="B107" s="15">
        <v>44064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1" t="s">
        <v>34</v>
      </c>
      <c r="O107" s="13"/>
      <c r="P107" s="43" t="s">
        <v>81</v>
      </c>
      <c r="Q107" s="20">
        <f>T107</f>
        <v>2.375</v>
      </c>
      <c r="R107" s="25" t="s">
        <v>44</v>
      </c>
      <c r="S107" s="27">
        <v>1</v>
      </c>
      <c r="T107" s="40">
        <f>2375/1000</f>
        <v>2.375</v>
      </c>
      <c r="U107" s="14" t="s">
        <v>55</v>
      </c>
      <c r="V107" s="10" t="s">
        <v>125</v>
      </c>
    </row>
    <row r="108" spans="1:22" ht="24" x14ac:dyDescent="0.25">
      <c r="A108" s="22">
        <v>93</v>
      </c>
      <c r="B108" s="15">
        <v>44064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1" t="s">
        <v>34</v>
      </c>
      <c r="O108" s="13"/>
      <c r="P108" s="43" t="s">
        <v>83</v>
      </c>
      <c r="Q108" s="20">
        <f>T108</f>
        <v>0.24167</v>
      </c>
      <c r="R108" s="25" t="s">
        <v>44</v>
      </c>
      <c r="S108" s="27">
        <v>1</v>
      </c>
      <c r="T108" s="40">
        <f>241.67/1000</f>
        <v>0.24167</v>
      </c>
      <c r="U108" s="14" t="s">
        <v>55</v>
      </c>
      <c r="V108" s="10" t="s">
        <v>125</v>
      </c>
    </row>
    <row r="109" spans="1:22" ht="36" x14ac:dyDescent="0.25">
      <c r="A109" s="22">
        <v>94</v>
      </c>
      <c r="B109" s="15">
        <v>44064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1" t="s">
        <v>34</v>
      </c>
      <c r="O109" s="13"/>
      <c r="P109" s="43" t="s">
        <v>114</v>
      </c>
      <c r="Q109" s="20">
        <f>17.68/1000</f>
        <v>1.7680000000000001E-2</v>
      </c>
      <c r="R109" s="25" t="s">
        <v>44</v>
      </c>
      <c r="S109" s="18">
        <v>6</v>
      </c>
      <c r="T109" s="40">
        <f>106.05/1000</f>
        <v>0.10604999999999999</v>
      </c>
      <c r="U109" s="14" t="s">
        <v>55</v>
      </c>
      <c r="V109" s="10" t="s">
        <v>125</v>
      </c>
    </row>
    <row r="110" spans="1:22" ht="24" x14ac:dyDescent="0.25">
      <c r="A110" s="22">
        <v>95</v>
      </c>
      <c r="B110" s="15">
        <v>44064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1" t="s">
        <v>34</v>
      </c>
      <c r="O110" s="13"/>
      <c r="P110" s="43" t="s">
        <v>115</v>
      </c>
      <c r="Q110" s="20">
        <f>153.47/1000</f>
        <v>0.15347</v>
      </c>
      <c r="R110" s="25" t="s">
        <v>71</v>
      </c>
      <c r="S110" s="27">
        <v>2.5</v>
      </c>
      <c r="T110" s="42">
        <f>383.67/1000</f>
        <v>0.38367000000000001</v>
      </c>
      <c r="U110" s="14" t="s">
        <v>55</v>
      </c>
      <c r="V110" s="10" t="s">
        <v>125</v>
      </c>
    </row>
    <row r="111" spans="1:22" ht="24" x14ac:dyDescent="0.25">
      <c r="A111" s="22">
        <v>96</v>
      </c>
      <c r="B111" s="16">
        <v>44064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1" t="s">
        <v>34</v>
      </c>
      <c r="O111" s="13"/>
      <c r="P111" s="21" t="s">
        <v>69</v>
      </c>
      <c r="Q111" s="31">
        <f>T111</f>
        <v>1.4583299999999999</v>
      </c>
      <c r="R111" s="25" t="s">
        <v>44</v>
      </c>
      <c r="S111" s="27">
        <v>1</v>
      </c>
      <c r="T111" s="31">
        <f>1458.33/1000</f>
        <v>1.4583299999999999</v>
      </c>
      <c r="U111" s="14" t="s">
        <v>55</v>
      </c>
      <c r="V111" s="10" t="s">
        <v>125</v>
      </c>
    </row>
    <row r="112" spans="1:22" ht="24" customHeight="1" x14ac:dyDescent="0.25">
      <c r="A112" s="22">
        <v>97</v>
      </c>
      <c r="B112" s="15">
        <v>44068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1" t="s">
        <v>34</v>
      </c>
      <c r="O112" s="13"/>
      <c r="P112" s="43" t="s">
        <v>103</v>
      </c>
      <c r="Q112" s="20">
        <f>T112</f>
        <v>7.5977200000000007</v>
      </c>
      <c r="R112" s="25" t="s">
        <v>44</v>
      </c>
      <c r="S112" s="27">
        <v>1</v>
      </c>
      <c r="T112" s="41">
        <f>7597.72/1000</f>
        <v>7.5977200000000007</v>
      </c>
      <c r="U112" s="14" t="s">
        <v>124</v>
      </c>
      <c r="V112" s="10" t="s">
        <v>123</v>
      </c>
    </row>
    <row r="113" spans="1:22" ht="24" x14ac:dyDescent="0.25">
      <c r="A113" s="22">
        <v>98</v>
      </c>
      <c r="B113" s="15">
        <v>44071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1" t="s">
        <v>34</v>
      </c>
      <c r="O113" s="13"/>
      <c r="P113" s="43" t="s">
        <v>101</v>
      </c>
      <c r="Q113" s="20">
        <f>T113/S113</f>
        <v>1.3333000000000001E-2</v>
      </c>
      <c r="R113" s="25" t="s">
        <v>122</v>
      </c>
      <c r="S113" s="27">
        <v>10</v>
      </c>
      <c r="T113" s="41">
        <f>133.33/1000</f>
        <v>0.13333</v>
      </c>
      <c r="U113" s="14" t="s">
        <v>55</v>
      </c>
      <c r="V113" s="14" t="s">
        <v>121</v>
      </c>
    </row>
    <row r="114" spans="1:22" ht="24" x14ac:dyDescent="0.25">
      <c r="A114" s="22">
        <v>99</v>
      </c>
      <c r="B114" s="15">
        <v>44071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1" t="s">
        <v>34</v>
      </c>
      <c r="O114" s="13"/>
      <c r="P114" s="43" t="s">
        <v>79</v>
      </c>
      <c r="Q114" s="20">
        <f>T114/S114</f>
        <v>143.73500000000001</v>
      </c>
      <c r="R114" s="25" t="s">
        <v>44</v>
      </c>
      <c r="S114" s="27">
        <v>2</v>
      </c>
      <c r="T114" s="41">
        <v>287.47000000000003</v>
      </c>
      <c r="U114" s="14" t="s">
        <v>55</v>
      </c>
      <c r="V114" s="14" t="s">
        <v>121</v>
      </c>
    </row>
    <row r="115" spans="1:22" ht="24" x14ac:dyDescent="0.25">
      <c r="A115" s="22">
        <v>100</v>
      </c>
      <c r="B115" s="15">
        <v>44071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1" t="s">
        <v>34</v>
      </c>
      <c r="O115" s="13"/>
      <c r="P115" s="43" t="s">
        <v>104</v>
      </c>
      <c r="Q115" s="20">
        <f>T115/S115</f>
        <v>1.8114999999999999E-2</v>
      </c>
      <c r="R115" s="25" t="s">
        <v>44</v>
      </c>
      <c r="S115" s="27">
        <v>2</v>
      </c>
      <c r="T115" s="41">
        <f>36.23/1000</f>
        <v>3.6229999999999998E-2</v>
      </c>
      <c r="U115" s="14" t="s">
        <v>55</v>
      </c>
      <c r="V115" s="14" t="s">
        <v>121</v>
      </c>
    </row>
    <row r="116" spans="1:22" ht="24" x14ac:dyDescent="0.25">
      <c r="A116" s="22">
        <v>101</v>
      </c>
      <c r="B116" s="15">
        <v>44071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1" t="s">
        <v>34</v>
      </c>
      <c r="O116" s="13"/>
      <c r="P116" s="43" t="s">
        <v>82</v>
      </c>
      <c r="Q116" s="20">
        <f>T116</f>
        <v>1.4583299999999999</v>
      </c>
      <c r="R116" s="25" t="s">
        <v>44</v>
      </c>
      <c r="S116" s="27">
        <v>1</v>
      </c>
      <c r="T116" s="41">
        <f>1458.33/1000</f>
        <v>1.4583299999999999</v>
      </c>
      <c r="U116" s="14" t="s">
        <v>55</v>
      </c>
      <c r="V116" s="14" t="s">
        <v>121</v>
      </c>
    </row>
    <row r="117" spans="1:22" ht="24" x14ac:dyDescent="0.25">
      <c r="A117" s="22">
        <v>102</v>
      </c>
      <c r="B117" s="15">
        <v>44071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1" t="s">
        <v>34</v>
      </c>
      <c r="O117" s="13"/>
      <c r="P117" s="43" t="s">
        <v>115</v>
      </c>
      <c r="Q117" s="20">
        <f>153.47/1000</f>
        <v>0.15347</v>
      </c>
      <c r="R117" s="25" t="s">
        <v>71</v>
      </c>
      <c r="S117" s="27">
        <v>5</v>
      </c>
      <c r="T117" s="41">
        <f>767.33/1000</f>
        <v>0.76733000000000007</v>
      </c>
      <c r="U117" s="14" t="s">
        <v>55</v>
      </c>
      <c r="V117" s="14" t="s">
        <v>121</v>
      </c>
    </row>
    <row r="118" spans="1:22" ht="24" x14ac:dyDescent="0.25">
      <c r="A118" s="22">
        <v>103</v>
      </c>
      <c r="B118" s="15">
        <v>44072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1" t="s">
        <v>34</v>
      </c>
      <c r="O118" s="13"/>
      <c r="P118" s="45" t="s">
        <v>119</v>
      </c>
      <c r="Q118" s="20">
        <f>1666.67/1000</f>
        <v>1.6666700000000001</v>
      </c>
      <c r="R118" s="25" t="s">
        <v>120</v>
      </c>
      <c r="S118" s="29">
        <v>3</v>
      </c>
      <c r="T118" s="41">
        <f>5000/1000</f>
        <v>5</v>
      </c>
      <c r="U118" s="14" t="s">
        <v>116</v>
      </c>
      <c r="V118" s="10" t="s">
        <v>117</v>
      </c>
    </row>
    <row r="119" spans="1:22" x14ac:dyDescent="0.25">
      <c r="A119" s="22">
        <v>104</v>
      </c>
      <c r="B119" s="15">
        <v>44072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 t="s">
        <v>34</v>
      </c>
      <c r="O119" s="11"/>
      <c r="P119" s="43" t="s">
        <v>86</v>
      </c>
      <c r="Q119" s="20">
        <f>T119/S119</f>
        <v>2.75</v>
      </c>
      <c r="R119" s="25" t="s">
        <v>118</v>
      </c>
      <c r="S119" s="29">
        <v>15</v>
      </c>
      <c r="T119" s="41">
        <f>41250/1000</f>
        <v>41.25</v>
      </c>
      <c r="U119" s="14" t="s">
        <v>116</v>
      </c>
      <c r="V119" s="10" t="s">
        <v>117</v>
      </c>
    </row>
    <row r="120" spans="1:22" x14ac:dyDescent="0.25">
      <c r="A120" s="22">
        <v>105</v>
      </c>
      <c r="B120" s="15">
        <v>44074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1" t="s">
        <v>34</v>
      </c>
      <c r="O120" s="13"/>
      <c r="P120" s="14" t="s">
        <v>57</v>
      </c>
      <c r="Q120" s="20">
        <f>T120</f>
        <v>1.2</v>
      </c>
      <c r="R120" s="36" t="s">
        <v>44</v>
      </c>
      <c r="S120" s="27">
        <v>1</v>
      </c>
      <c r="T120" s="23">
        <f>1200/1000</f>
        <v>1.2</v>
      </c>
      <c r="U120" s="14" t="s">
        <v>58</v>
      </c>
      <c r="V120" s="10" t="s">
        <v>147</v>
      </c>
    </row>
    <row r="121" spans="1:22" x14ac:dyDescent="0.25">
      <c r="A121" s="22">
        <v>106</v>
      </c>
      <c r="B121" s="15">
        <v>44074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1" t="s">
        <v>34</v>
      </c>
      <c r="O121" s="13"/>
      <c r="P121" s="9" t="s">
        <v>56</v>
      </c>
      <c r="Q121" s="20">
        <f>T121</f>
        <v>1</v>
      </c>
      <c r="R121" s="25" t="s">
        <v>44</v>
      </c>
      <c r="S121" s="29">
        <v>1</v>
      </c>
      <c r="T121" s="39">
        <f>1000/1000</f>
        <v>1</v>
      </c>
      <c r="U121" s="14" t="s">
        <v>45</v>
      </c>
      <c r="V121" s="10" t="s">
        <v>158</v>
      </c>
    </row>
    <row r="122" spans="1:22" x14ac:dyDescent="0.25">
      <c r="A122" s="22">
        <v>107</v>
      </c>
      <c r="B122" s="15">
        <v>44074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1" t="s">
        <v>34</v>
      </c>
      <c r="O122" s="13"/>
      <c r="P122" s="9" t="s">
        <v>67</v>
      </c>
      <c r="Q122" s="18" t="s">
        <v>37</v>
      </c>
      <c r="R122" s="18" t="s">
        <v>37</v>
      </c>
      <c r="S122" s="18" t="s">
        <v>37</v>
      </c>
      <c r="T122" s="39">
        <f>1000/1000</f>
        <v>1</v>
      </c>
      <c r="U122" s="14" t="s">
        <v>43</v>
      </c>
      <c r="V122" s="10" t="s">
        <v>157</v>
      </c>
    </row>
    <row r="123" spans="1:22" x14ac:dyDescent="0.25">
      <c r="A123" s="22">
        <v>108</v>
      </c>
      <c r="B123" s="15">
        <v>44074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1" t="s">
        <v>34</v>
      </c>
      <c r="O123" s="13"/>
      <c r="P123" s="14" t="s">
        <v>62</v>
      </c>
      <c r="Q123" s="12">
        <f>T123</f>
        <v>1.18</v>
      </c>
      <c r="R123" s="24" t="s">
        <v>44</v>
      </c>
      <c r="S123" s="26">
        <v>1</v>
      </c>
      <c r="T123" s="23">
        <f>1180/1000</f>
        <v>1.18</v>
      </c>
      <c r="U123" s="14" t="s">
        <v>46</v>
      </c>
      <c r="V123" s="10" t="s">
        <v>148</v>
      </c>
    </row>
    <row r="124" spans="1:22" x14ac:dyDescent="0.25">
      <c r="A124" s="22">
        <v>109</v>
      </c>
      <c r="B124" s="15">
        <v>44074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1" t="s">
        <v>34</v>
      </c>
      <c r="O124" s="13"/>
      <c r="P124" s="14" t="s">
        <v>47</v>
      </c>
      <c r="Q124" s="20">
        <f>T124</f>
        <v>1.18</v>
      </c>
      <c r="R124" s="18"/>
      <c r="S124" s="27">
        <v>1</v>
      </c>
      <c r="T124" s="23">
        <f>1180/1000</f>
        <v>1.18</v>
      </c>
      <c r="U124" s="14" t="s">
        <v>48</v>
      </c>
      <c r="V124" s="14" t="s">
        <v>146</v>
      </c>
    </row>
    <row r="125" spans="1:22" ht="24" x14ac:dyDescent="0.25">
      <c r="A125" s="22">
        <v>110</v>
      </c>
      <c r="B125" s="15">
        <v>44074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1" t="s">
        <v>34</v>
      </c>
      <c r="O125" s="13"/>
      <c r="P125" s="9" t="s">
        <v>59</v>
      </c>
      <c r="Q125" s="20">
        <f>T125</f>
        <v>0.69</v>
      </c>
      <c r="R125" s="25" t="s">
        <v>41</v>
      </c>
      <c r="S125" s="27">
        <v>1</v>
      </c>
      <c r="T125" s="39">
        <f>690/1000</f>
        <v>0.69</v>
      </c>
      <c r="U125" s="14" t="s">
        <v>42</v>
      </c>
      <c r="V125" s="10" t="s">
        <v>159</v>
      </c>
    </row>
    <row r="126" spans="1:22" ht="24" x14ac:dyDescent="0.25">
      <c r="A126" s="22">
        <v>111</v>
      </c>
      <c r="B126" s="16">
        <v>44074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1" t="s">
        <v>34</v>
      </c>
      <c r="O126" s="13"/>
      <c r="P126" s="9" t="s">
        <v>61</v>
      </c>
      <c r="Q126" s="18" t="s">
        <v>37</v>
      </c>
      <c r="R126" s="18" t="s">
        <v>37</v>
      </c>
      <c r="S126" s="18" t="s">
        <v>37</v>
      </c>
      <c r="T126" s="39">
        <f>123.25/1000</f>
        <v>0.12325</v>
      </c>
      <c r="U126" s="30" t="s">
        <v>38</v>
      </c>
      <c r="V126" s="10" t="s">
        <v>150</v>
      </c>
    </row>
    <row r="127" spans="1:22" ht="24" x14ac:dyDescent="0.25">
      <c r="A127" s="22">
        <v>112</v>
      </c>
      <c r="B127" s="15">
        <v>44074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1" t="s">
        <v>34</v>
      </c>
      <c r="O127" s="13"/>
      <c r="P127" s="9" t="s">
        <v>53</v>
      </c>
      <c r="Q127" s="34">
        <f>T127</f>
        <v>0.19005000000000002</v>
      </c>
      <c r="R127" s="25" t="s">
        <v>35</v>
      </c>
      <c r="S127" s="25">
        <v>1</v>
      </c>
      <c r="T127" s="39">
        <f>190.05/1000</f>
        <v>0.19005000000000002</v>
      </c>
      <c r="U127" s="17" t="s">
        <v>36</v>
      </c>
      <c r="V127" s="10" t="s">
        <v>149</v>
      </c>
    </row>
    <row r="128" spans="1:22" ht="24" x14ac:dyDescent="0.25">
      <c r="A128" s="22">
        <v>113</v>
      </c>
      <c r="B128" s="15">
        <v>44074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1" t="s">
        <v>34</v>
      </c>
      <c r="O128" s="13"/>
      <c r="P128" s="9" t="s">
        <v>53</v>
      </c>
      <c r="Q128" s="34">
        <f>T128</f>
        <v>3.1284899999999998</v>
      </c>
      <c r="R128" s="25" t="s">
        <v>37</v>
      </c>
      <c r="S128" s="25" t="s">
        <v>37</v>
      </c>
      <c r="T128" s="39">
        <f>3128.49/1000</f>
        <v>3.1284899999999998</v>
      </c>
      <c r="U128" s="17" t="s">
        <v>39</v>
      </c>
      <c r="V128" s="10" t="s">
        <v>151</v>
      </c>
    </row>
    <row r="129" spans="1:22" ht="24" x14ac:dyDescent="0.25">
      <c r="A129" s="22">
        <v>114</v>
      </c>
      <c r="B129" s="15">
        <v>44074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1" t="s">
        <v>34</v>
      </c>
      <c r="O129" s="13"/>
      <c r="P129" s="9" t="s">
        <v>53</v>
      </c>
      <c r="Q129" s="18" t="s">
        <v>37</v>
      </c>
      <c r="R129" s="18" t="s">
        <v>37</v>
      </c>
      <c r="S129" s="18" t="s">
        <v>37</v>
      </c>
      <c r="T129" s="39">
        <f>40.06/1000</f>
        <v>4.0060000000000005E-2</v>
      </c>
      <c r="U129" s="17" t="s">
        <v>40</v>
      </c>
      <c r="V129" s="10" t="s">
        <v>152</v>
      </c>
    </row>
    <row r="130" spans="1:22" ht="24" x14ac:dyDescent="0.25">
      <c r="A130" s="22">
        <v>115</v>
      </c>
      <c r="B130" s="15">
        <v>44074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1" t="s">
        <v>34</v>
      </c>
      <c r="O130" s="13"/>
      <c r="P130" s="9" t="s">
        <v>53</v>
      </c>
      <c r="Q130" s="37">
        <f>T130</f>
        <v>9.1999999999999998E-2</v>
      </c>
      <c r="R130" s="18" t="s">
        <v>37</v>
      </c>
      <c r="S130" s="18" t="s">
        <v>37</v>
      </c>
      <c r="T130" s="39">
        <f>92/1000</f>
        <v>9.1999999999999998E-2</v>
      </c>
      <c r="U130" s="17" t="s">
        <v>40</v>
      </c>
      <c r="V130" s="10" t="s">
        <v>153</v>
      </c>
    </row>
    <row r="131" spans="1:22" ht="24" x14ac:dyDescent="0.25">
      <c r="A131" s="22">
        <v>116</v>
      </c>
      <c r="B131" s="15">
        <v>44074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1" t="s">
        <v>34</v>
      </c>
      <c r="O131" s="13"/>
      <c r="P131" s="9" t="s">
        <v>53</v>
      </c>
      <c r="Q131" s="34">
        <f>T131</f>
        <v>6.9554300000000007</v>
      </c>
      <c r="R131" s="25" t="s">
        <v>37</v>
      </c>
      <c r="S131" s="25" t="s">
        <v>37</v>
      </c>
      <c r="T131" s="39">
        <f>6955.43/1000</f>
        <v>6.9554300000000007</v>
      </c>
      <c r="U131" s="17" t="s">
        <v>40</v>
      </c>
      <c r="V131" s="10" t="s">
        <v>154</v>
      </c>
    </row>
    <row r="132" spans="1:22" ht="24" x14ac:dyDescent="0.25">
      <c r="A132" s="22">
        <v>117</v>
      </c>
      <c r="B132" s="15">
        <v>44074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1" t="s">
        <v>34</v>
      </c>
      <c r="O132" s="13"/>
      <c r="P132" s="14" t="s">
        <v>49</v>
      </c>
      <c r="Q132" s="18" t="s">
        <v>37</v>
      </c>
      <c r="R132" s="18" t="s">
        <v>37</v>
      </c>
      <c r="S132" s="18" t="s">
        <v>37</v>
      </c>
      <c r="T132" s="23">
        <f>337.71/1000</f>
        <v>0.33770999999999995</v>
      </c>
      <c r="U132" s="14" t="s">
        <v>54</v>
      </c>
      <c r="V132" s="10" t="s">
        <v>155</v>
      </c>
    </row>
    <row r="133" spans="1:22" ht="24" x14ac:dyDescent="0.25">
      <c r="A133" s="22">
        <v>118</v>
      </c>
      <c r="B133" s="15">
        <v>44074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1" t="s">
        <v>34</v>
      </c>
      <c r="O133" s="13"/>
      <c r="P133" s="14" t="s">
        <v>60</v>
      </c>
      <c r="Q133" s="20">
        <f>T133/S133</f>
        <v>3.3108345588235291E-2</v>
      </c>
      <c r="R133" s="20" t="s">
        <v>50</v>
      </c>
      <c r="S133" s="27">
        <v>272</v>
      </c>
      <c r="T133" s="23">
        <f>9005.47/1000</f>
        <v>9.005469999999999</v>
      </c>
      <c r="U133" s="14" t="s">
        <v>54</v>
      </c>
      <c r="V133" s="10" t="s">
        <v>156</v>
      </c>
    </row>
  </sheetData>
  <sortState ref="A16:V133">
    <sortCondition ref="B16:B133"/>
  </sortState>
  <mergeCells count="22">
    <mergeCell ref="A6:V7"/>
    <mergeCell ref="A8:V8"/>
    <mergeCell ref="A10:A14"/>
    <mergeCell ref="B10:B14"/>
    <mergeCell ref="C10:O10"/>
    <mergeCell ref="P10:P14"/>
    <mergeCell ref="Q10:Q14"/>
    <mergeCell ref="R10:R14"/>
    <mergeCell ref="S10:S14"/>
    <mergeCell ref="T10:T14"/>
    <mergeCell ref="N13:N14"/>
    <mergeCell ref="O13:O14"/>
    <mergeCell ref="U10:U14"/>
    <mergeCell ref="V10:V14"/>
    <mergeCell ref="C11:M11"/>
    <mergeCell ref="N11:O12"/>
    <mergeCell ref="C12:L12"/>
    <mergeCell ref="M12:M14"/>
    <mergeCell ref="C13:E13"/>
    <mergeCell ref="F13:H13"/>
    <mergeCell ref="I13:J13"/>
    <mergeCell ref="K13:L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август</vt:lpstr>
      <vt:lpstr>август!Область_печати</vt:lpstr>
      <vt:lpstr>август!Резьба_Ду_15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user</cp:lastModifiedBy>
  <cp:lastPrinted>2020-10-15T04:35:18Z</cp:lastPrinted>
  <dcterms:created xsi:type="dcterms:W3CDTF">2020-06-26T05:02:03Z</dcterms:created>
  <dcterms:modified xsi:type="dcterms:W3CDTF">2020-10-18T12:58:09Z</dcterms:modified>
</cp:coreProperties>
</file>